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pi-fileserver\sinip\Web\Guias-Manuales-Normas\"/>
    </mc:Choice>
  </mc:AlternateContent>
  <bookViews>
    <workbookView xWindow="0" yWindow="0" windowWidth="25125" windowHeight="12300" firstSheet="2" activeTab="6"/>
  </bookViews>
  <sheets>
    <sheet name="Costos inv. Inic" sheetId="4" r:id="rId1"/>
    <sheet name="Costos Funcionamiento" sheetId="5" r:id="rId2"/>
    <sheet name="Financiero" sheetId="1" r:id="rId3"/>
    <sheet name="VAC, CAE, ICE" sheetId="3" r:id="rId4"/>
    <sheet name="Economico" sheetId="2" r:id="rId5"/>
    <sheet name="Cronograma" sheetId="6" r:id="rId6"/>
    <sheet name="Finan Eje 2" sheetId="7" r:id="rId7"/>
    <sheet name="Finan Eje 2 con Prestamo" sheetId="8" r:id="rId8"/>
    <sheet name="Sensibilidad" sheetId="9" r:id="rId9"/>
    <sheet name="Depreciacion" sheetId="10" r:id="rId10"/>
  </sheets>
  <definedNames>
    <definedName name="_xlnm.Print_Area" localSheetId="1">'Costos Funcionamiento'!$A$1:$H$101</definedName>
    <definedName name="_xlnm.Print_Area" localSheetId="0">'Costos inv. Inic'!$A$1:$H$111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2" i="7" l="1"/>
  <c r="D11" i="7" l="1"/>
  <c r="E51" i="8"/>
  <c r="F51" i="8"/>
  <c r="G51" i="8"/>
  <c r="H51" i="8"/>
  <c r="D51" i="8"/>
  <c r="I51" i="8" s="1"/>
  <c r="D49" i="9"/>
  <c r="G48" i="8"/>
  <c r="G50" i="8" s="1"/>
  <c r="F48" i="8"/>
  <c r="F50" i="8" s="1"/>
  <c r="E48" i="8"/>
  <c r="E50" i="8" s="1"/>
  <c r="D48" i="8"/>
  <c r="D50" i="8"/>
  <c r="H48" i="8"/>
  <c r="H50" i="8" s="1"/>
  <c r="H49" i="9"/>
  <c r="C99" i="9"/>
  <c r="I50" i="8" l="1"/>
  <c r="C43" i="8" s="1"/>
  <c r="H86" i="9"/>
  <c r="G86" i="9"/>
  <c r="F86" i="9"/>
  <c r="E86" i="9"/>
  <c r="D86" i="9"/>
  <c r="C63" i="9"/>
  <c r="C62" i="9"/>
  <c r="C61" i="9"/>
  <c r="H32" i="9"/>
  <c r="G32" i="9"/>
  <c r="F32" i="9"/>
  <c r="F29" i="9" s="1"/>
  <c r="E32" i="9"/>
  <c r="E29" i="9" s="1"/>
  <c r="D32" i="9"/>
  <c r="D29" i="9"/>
  <c r="D27" i="9"/>
  <c r="H27" i="9"/>
  <c r="I52" i="8" l="1"/>
  <c r="D12" i="9"/>
  <c r="K20" i="10" l="1"/>
  <c r="K19" i="10"/>
  <c r="J19" i="10"/>
  <c r="G19" i="10"/>
  <c r="K18" i="10"/>
  <c r="J18" i="10"/>
  <c r="G18" i="10"/>
  <c r="K15" i="10"/>
  <c r="K14" i="10"/>
  <c r="J14" i="10"/>
  <c r="G14" i="10"/>
  <c r="K13" i="10"/>
  <c r="J13" i="10"/>
  <c r="G13" i="10"/>
  <c r="K12" i="10"/>
  <c r="J12" i="10"/>
  <c r="G12" i="10"/>
  <c r="K11" i="10"/>
  <c r="J11" i="10"/>
  <c r="G11" i="10"/>
  <c r="D94" i="9"/>
  <c r="H91" i="9"/>
  <c r="G91" i="9"/>
  <c r="F91" i="9"/>
  <c r="E91" i="9"/>
  <c r="D91" i="9"/>
  <c r="C91" i="9"/>
  <c r="H83" i="9"/>
  <c r="G83" i="9"/>
  <c r="F83" i="9"/>
  <c r="E83" i="9"/>
  <c r="D83" i="9"/>
  <c r="C83" i="9"/>
  <c r="H81" i="9"/>
  <c r="G81" i="9"/>
  <c r="F81" i="9"/>
  <c r="E81" i="9"/>
  <c r="D81" i="9"/>
  <c r="C81" i="9"/>
  <c r="C65" i="9" s="1"/>
  <c r="H79" i="9"/>
  <c r="G79" i="9"/>
  <c r="G65" i="9" s="1"/>
  <c r="G103" i="9" s="1"/>
  <c r="G105" i="9" s="1"/>
  <c r="F79" i="9"/>
  <c r="E79" i="9"/>
  <c r="D79" i="9"/>
  <c r="H76" i="9"/>
  <c r="G76" i="9"/>
  <c r="F76" i="9"/>
  <c r="E76" i="9"/>
  <c r="D76" i="9"/>
  <c r="H66" i="9"/>
  <c r="G66" i="9"/>
  <c r="F66" i="9"/>
  <c r="E66" i="9"/>
  <c r="E65" i="9" s="1"/>
  <c r="E103" i="9" s="1"/>
  <c r="E105" i="9" s="1"/>
  <c r="D66" i="9"/>
  <c r="C60" i="9"/>
  <c r="E50" i="9"/>
  <c r="E52" i="9" s="1"/>
  <c r="D40" i="9"/>
  <c r="H37" i="9"/>
  <c r="G37" i="9"/>
  <c r="F37" i="9"/>
  <c r="F50" i="9" s="1"/>
  <c r="F52" i="9" s="1"/>
  <c r="E37" i="9"/>
  <c r="D37" i="9"/>
  <c r="C37" i="9"/>
  <c r="C50" i="9" s="1"/>
  <c r="H29" i="9"/>
  <c r="G29" i="9"/>
  <c r="G27" i="9"/>
  <c r="F27" i="9"/>
  <c r="E27" i="9"/>
  <c r="H25" i="9"/>
  <c r="G25" i="9"/>
  <c r="F25" i="9"/>
  <c r="E25" i="9"/>
  <c r="D25" i="9"/>
  <c r="H22" i="9"/>
  <c r="G22" i="9"/>
  <c r="F22" i="9"/>
  <c r="E22" i="9"/>
  <c r="D22" i="9"/>
  <c r="D11" i="9" s="1"/>
  <c r="H12" i="9"/>
  <c r="G12" i="9"/>
  <c r="F12" i="9"/>
  <c r="E12" i="9"/>
  <c r="C6" i="9"/>
  <c r="C49" i="9" s="1"/>
  <c r="D38" i="8"/>
  <c r="H35" i="8"/>
  <c r="G35" i="8"/>
  <c r="F35" i="8"/>
  <c r="E35" i="8"/>
  <c r="D35" i="8"/>
  <c r="C35" i="8"/>
  <c r="C39" i="8"/>
  <c r="H27" i="8"/>
  <c r="H31" i="8" s="1"/>
  <c r="H33" i="8" s="1"/>
  <c r="H39" i="8" s="1"/>
  <c r="G27" i="8"/>
  <c r="F27" i="8"/>
  <c r="E27" i="8"/>
  <c r="D27" i="8"/>
  <c r="C27" i="8"/>
  <c r="H25" i="8"/>
  <c r="G25" i="8"/>
  <c r="F25" i="8"/>
  <c r="E25" i="8"/>
  <c r="D25" i="8"/>
  <c r="H23" i="8"/>
  <c r="G23" i="8"/>
  <c r="F23" i="8"/>
  <c r="E23" i="8"/>
  <c r="D23" i="8"/>
  <c r="H20" i="8"/>
  <c r="G20" i="8"/>
  <c r="F20" i="8"/>
  <c r="E20" i="8"/>
  <c r="D20" i="8"/>
  <c r="H10" i="8"/>
  <c r="H9" i="8" s="1"/>
  <c r="G10" i="8"/>
  <c r="G9" i="8" s="1"/>
  <c r="G31" i="8" s="1"/>
  <c r="G33" i="8" s="1"/>
  <c r="G39" i="8" s="1"/>
  <c r="F10" i="8"/>
  <c r="F9" i="8" s="1"/>
  <c r="F31" i="8" s="1"/>
  <c r="F33" i="8" s="1"/>
  <c r="F39" i="8" s="1"/>
  <c r="E10" i="8"/>
  <c r="E9" i="8" s="1"/>
  <c r="E31" i="8" s="1"/>
  <c r="E33" i="8" s="1"/>
  <c r="E39" i="8" s="1"/>
  <c r="D10" i="8"/>
  <c r="C4" i="8"/>
  <c r="D39" i="7"/>
  <c r="H36" i="7"/>
  <c r="G36" i="7"/>
  <c r="F36" i="7"/>
  <c r="E36" i="7"/>
  <c r="D36" i="7"/>
  <c r="C36" i="7"/>
  <c r="H28" i="7"/>
  <c r="H50" i="7" s="1"/>
  <c r="H52" i="7" s="1"/>
  <c r="G28" i="7"/>
  <c r="G50" i="7" s="1"/>
  <c r="G52" i="7" s="1"/>
  <c r="F28" i="7"/>
  <c r="F50" i="7" s="1"/>
  <c r="F52" i="7" s="1"/>
  <c r="E28" i="7"/>
  <c r="E50" i="7" s="1"/>
  <c r="E52" i="7" s="1"/>
  <c r="D28" i="7"/>
  <c r="D50" i="7" s="1"/>
  <c r="D52" i="7" s="1"/>
  <c r="C28" i="7"/>
  <c r="H26" i="7"/>
  <c r="G26" i="7"/>
  <c r="F26" i="7"/>
  <c r="E26" i="7"/>
  <c r="D26" i="7"/>
  <c r="C26" i="7"/>
  <c r="H24" i="7"/>
  <c r="H10" i="7" s="1"/>
  <c r="H49" i="7" s="1"/>
  <c r="H51" i="7" s="1"/>
  <c r="G24" i="7"/>
  <c r="F24" i="7"/>
  <c r="E24" i="7"/>
  <c r="D24" i="7"/>
  <c r="D10" i="7" s="1"/>
  <c r="H21" i="7"/>
  <c r="G21" i="7"/>
  <c r="F21" i="7"/>
  <c r="E21" i="7"/>
  <c r="E10" i="7" s="1"/>
  <c r="D21" i="7"/>
  <c r="H11" i="7"/>
  <c r="G11" i="7"/>
  <c r="G10" i="7" s="1"/>
  <c r="F11" i="7"/>
  <c r="F10" i="7" s="1"/>
  <c r="E11" i="7"/>
  <c r="C5" i="7"/>
  <c r="Q13" i="6"/>
  <c r="Q11" i="6"/>
  <c r="Q9" i="6"/>
  <c r="Q8" i="6"/>
  <c r="Q6" i="6"/>
  <c r="Q5" i="6"/>
  <c r="H38" i="2"/>
  <c r="H37" i="2"/>
  <c r="H36" i="2"/>
  <c r="N33" i="2"/>
  <c r="M33" i="2"/>
  <c r="L33" i="2"/>
  <c r="K33" i="2"/>
  <c r="J33" i="2"/>
  <c r="I33" i="2"/>
  <c r="H33" i="2"/>
  <c r="G33" i="2"/>
  <c r="F33" i="2"/>
  <c r="E33" i="2"/>
  <c r="D33" i="2"/>
  <c r="N31" i="2"/>
  <c r="M31" i="2"/>
  <c r="L31" i="2"/>
  <c r="K31" i="2"/>
  <c r="J31" i="2"/>
  <c r="I31" i="2"/>
  <c r="H31" i="2"/>
  <c r="G31" i="2"/>
  <c r="F31" i="2"/>
  <c r="E31" i="2"/>
  <c r="D31" i="2"/>
  <c r="N23" i="2"/>
  <c r="M23" i="2"/>
  <c r="L23" i="2"/>
  <c r="K23" i="2"/>
  <c r="J23" i="2"/>
  <c r="I23" i="2"/>
  <c r="H23" i="2"/>
  <c r="G23" i="2"/>
  <c r="F23" i="2"/>
  <c r="E23" i="2"/>
  <c r="D13" i="2"/>
  <c r="N12" i="2"/>
  <c r="M12" i="2"/>
  <c r="L12" i="2"/>
  <c r="K12" i="2"/>
  <c r="J12" i="2"/>
  <c r="I12" i="2"/>
  <c r="H12" i="2"/>
  <c r="G12" i="2"/>
  <c r="F12" i="2"/>
  <c r="E12" i="2"/>
  <c r="N8" i="2"/>
  <c r="M8" i="2"/>
  <c r="L8" i="2"/>
  <c r="K8" i="2"/>
  <c r="J8" i="2"/>
  <c r="I8" i="2"/>
  <c r="H8" i="2"/>
  <c r="G8" i="2"/>
  <c r="F8" i="2"/>
  <c r="E8" i="2"/>
  <c r="G19" i="3"/>
  <c r="G17" i="3"/>
  <c r="G18" i="3" s="1"/>
  <c r="G20" i="3" s="1"/>
  <c r="G9" i="3"/>
  <c r="G7" i="3"/>
  <c r="G8" i="3" s="1"/>
  <c r="G10" i="3" s="1"/>
  <c r="H38" i="1"/>
  <c r="H37" i="1"/>
  <c r="H36" i="1"/>
  <c r="N33" i="1"/>
  <c r="M33" i="1"/>
  <c r="L33" i="1"/>
  <c r="K33" i="1"/>
  <c r="J33" i="1"/>
  <c r="I33" i="1"/>
  <c r="H33" i="1"/>
  <c r="G33" i="1"/>
  <c r="F33" i="1"/>
  <c r="E33" i="1"/>
  <c r="D33" i="1"/>
  <c r="N31" i="1"/>
  <c r="M31" i="1"/>
  <c r="L31" i="1"/>
  <c r="K31" i="1"/>
  <c r="J31" i="1"/>
  <c r="I31" i="1"/>
  <c r="H31" i="1"/>
  <c r="G31" i="1"/>
  <c r="F31" i="1"/>
  <c r="E31" i="1"/>
  <c r="D31" i="1"/>
  <c r="N23" i="1"/>
  <c r="M23" i="1"/>
  <c r="L23" i="1"/>
  <c r="K23" i="1"/>
  <c r="J23" i="1"/>
  <c r="I23" i="1"/>
  <c r="H23" i="1"/>
  <c r="G23" i="1"/>
  <c r="F23" i="1"/>
  <c r="E23" i="1"/>
  <c r="D13" i="1"/>
  <c r="N12" i="1"/>
  <c r="M12" i="1"/>
  <c r="L12" i="1"/>
  <c r="K12" i="1"/>
  <c r="J12" i="1"/>
  <c r="I12" i="1"/>
  <c r="H12" i="1"/>
  <c r="G12" i="1"/>
  <c r="F12" i="1"/>
  <c r="E12" i="1"/>
  <c r="N8" i="1"/>
  <c r="M8" i="1"/>
  <c r="L8" i="1"/>
  <c r="K8" i="1"/>
  <c r="J8" i="1"/>
  <c r="I8" i="1"/>
  <c r="H8" i="1"/>
  <c r="G8" i="1"/>
  <c r="F8" i="1"/>
  <c r="E8" i="1"/>
  <c r="F49" i="7" l="1"/>
  <c r="F51" i="7" s="1"/>
  <c r="F32" i="7"/>
  <c r="D49" i="7"/>
  <c r="D51" i="7" s="1"/>
  <c r="D32" i="7"/>
  <c r="D33" i="7" s="1"/>
  <c r="G49" i="7"/>
  <c r="G51" i="7" s="1"/>
  <c r="G32" i="7"/>
  <c r="E49" i="7"/>
  <c r="E51" i="7" s="1"/>
  <c r="E32" i="7"/>
  <c r="I52" i="7"/>
  <c r="H32" i="7"/>
  <c r="D9" i="8"/>
  <c r="D106" i="9"/>
  <c r="D104" i="9"/>
  <c r="E106" i="9"/>
  <c r="E104" i="9"/>
  <c r="F106" i="9"/>
  <c r="F104" i="9"/>
  <c r="G50" i="9"/>
  <c r="G52" i="9" s="1"/>
  <c r="H106" i="9"/>
  <c r="H104" i="9"/>
  <c r="H50" i="9"/>
  <c r="H52" i="9" s="1"/>
  <c r="G106" i="9"/>
  <c r="G104" i="9"/>
  <c r="H11" i="9"/>
  <c r="H33" i="9" s="1"/>
  <c r="H34" i="9" s="1"/>
  <c r="H35" i="9" s="1"/>
  <c r="H41" i="9" s="1"/>
  <c r="C41" i="9"/>
  <c r="H65" i="9"/>
  <c r="H103" i="9" s="1"/>
  <c r="H105" i="9" s="1"/>
  <c r="F65" i="9"/>
  <c r="F103" i="9" s="1"/>
  <c r="F105" i="9" s="1"/>
  <c r="E87" i="9"/>
  <c r="D50" i="9"/>
  <c r="D52" i="9" s="1"/>
  <c r="D65" i="9"/>
  <c r="D103" i="9" s="1"/>
  <c r="D105" i="9" s="1"/>
  <c r="F11" i="9"/>
  <c r="F49" i="9" s="1"/>
  <c r="F51" i="9" s="1"/>
  <c r="G11" i="9"/>
  <c r="G49" i="9" s="1"/>
  <c r="G51" i="9" s="1"/>
  <c r="G87" i="9"/>
  <c r="G88" i="9" s="1"/>
  <c r="E88" i="9"/>
  <c r="E89" i="9" s="1"/>
  <c r="E95" i="9" s="1"/>
  <c r="C87" i="9"/>
  <c r="C89" i="9" s="1"/>
  <c r="C95" i="9" s="1"/>
  <c r="E11" i="9"/>
  <c r="E49" i="9" s="1"/>
  <c r="E51" i="9" s="1"/>
  <c r="F33" i="9"/>
  <c r="F34" i="9" s="1"/>
  <c r="F35" i="9" s="1"/>
  <c r="F41" i="9" s="1"/>
  <c r="H51" i="9"/>
  <c r="D33" i="9"/>
  <c r="D34" i="9" s="1"/>
  <c r="D35" i="9" s="1"/>
  <c r="D41" i="9" s="1"/>
  <c r="D51" i="9"/>
  <c r="D31" i="8"/>
  <c r="D33" i="8" s="1"/>
  <c r="D39" i="8" s="1"/>
  <c r="C42" i="8" s="1"/>
  <c r="C32" i="7"/>
  <c r="C34" i="7" s="1"/>
  <c r="C40" i="7" s="1"/>
  <c r="G33" i="7" l="1"/>
  <c r="G34" i="7" s="1"/>
  <c r="G40" i="7" s="1"/>
  <c r="F33" i="7"/>
  <c r="F34" i="7" s="1"/>
  <c r="F40" i="7" s="1"/>
  <c r="E33" i="7"/>
  <c r="E34" i="7"/>
  <c r="E40" i="7" s="1"/>
  <c r="I51" i="7"/>
  <c r="H34" i="7"/>
  <c r="H40" i="7" s="1"/>
  <c r="H33" i="7"/>
  <c r="D34" i="7"/>
  <c r="D40" i="7" s="1"/>
  <c r="C55" i="7" s="1"/>
  <c r="H87" i="9"/>
  <c r="F87" i="9"/>
  <c r="G89" i="9"/>
  <c r="G95" i="9" s="1"/>
  <c r="I105" i="9"/>
  <c r="I52" i="9"/>
  <c r="I106" i="9"/>
  <c r="I107" i="9" s="1"/>
  <c r="G33" i="9"/>
  <c r="G34" i="9" s="1"/>
  <c r="G35" i="9" s="1"/>
  <c r="G41" i="9" s="1"/>
  <c r="I51" i="9"/>
  <c r="D87" i="9"/>
  <c r="D88" i="9"/>
  <c r="D89" i="9" s="1"/>
  <c r="D95" i="9" s="1"/>
  <c r="E33" i="9"/>
  <c r="C41" i="8"/>
  <c r="I53" i="7" l="1"/>
  <c r="C44" i="7"/>
  <c r="C43" i="7"/>
  <c r="F88" i="9"/>
  <c r="F89" i="9"/>
  <c r="F95" i="9" s="1"/>
  <c r="H88" i="9"/>
  <c r="H89" i="9"/>
  <c r="H95" i="9" s="1"/>
  <c r="C45" i="9"/>
  <c r="C98" i="9"/>
  <c r="C97" i="9"/>
  <c r="E34" i="9"/>
  <c r="E35" i="9" s="1"/>
  <c r="E41" i="9" s="1"/>
  <c r="C43" i="9" l="1"/>
  <c r="C44" i="9"/>
</calcChain>
</file>

<file path=xl/sharedStrings.xml><?xml version="1.0" encoding="utf-8"?>
<sst xmlns="http://schemas.openxmlformats.org/spreadsheetml/2006/main" count="627" uniqueCount="311">
  <si>
    <t>Rubros/Items</t>
  </si>
  <si>
    <t>Año 0</t>
  </si>
  <si>
    <t>Año 1</t>
  </si>
  <si>
    <t>Año 2</t>
  </si>
  <si>
    <t>Beneficios (Bi)</t>
  </si>
  <si>
    <t>Costos (Ci)</t>
  </si>
  <si>
    <t>Beneficios netos anuales  (Bi  -  Ci)</t>
  </si>
  <si>
    <t>Valor neto actualizado anual  (Bi  - Ci)  *  FM</t>
  </si>
  <si>
    <r>
      <t xml:space="preserve">·  </t>
    </r>
    <r>
      <rPr>
        <sz val="9"/>
        <color theme="1"/>
        <rFont val="Times New Roman"/>
        <family val="1"/>
      </rPr>
      <t>Bien A</t>
    </r>
  </si>
  <si>
    <r>
      <t xml:space="preserve">·  </t>
    </r>
    <r>
      <rPr>
        <sz val="9"/>
        <color theme="1"/>
        <rFont val="Times New Roman"/>
        <family val="1"/>
      </rPr>
      <t>Servicio B</t>
    </r>
  </si>
  <si>
    <r>
      <t>·</t>
    </r>
    <r>
      <rPr>
        <sz val="7"/>
        <color theme="1"/>
        <rFont val="Times New Roman"/>
        <family val="1"/>
      </rPr>
      <t>  </t>
    </r>
    <r>
      <rPr>
        <sz val="9"/>
        <color theme="1"/>
        <rFont val="Times New Roman"/>
        <family val="1"/>
      </rPr>
      <t>Recupero de activos</t>
    </r>
  </si>
  <si>
    <r>
      <t>·</t>
    </r>
    <r>
      <rPr>
        <sz val="7"/>
        <color theme="1"/>
        <rFont val="Times New Roman"/>
        <family val="1"/>
      </rPr>
      <t>  </t>
    </r>
    <r>
      <rPr>
        <sz val="9"/>
        <color theme="1"/>
        <rFont val="Times New Roman"/>
        <family val="1"/>
      </rPr>
      <t>Terrenos</t>
    </r>
  </si>
  <si>
    <r>
      <t>·</t>
    </r>
    <r>
      <rPr>
        <sz val="7"/>
        <color theme="1"/>
        <rFont val="Times New Roman"/>
        <family val="1"/>
      </rPr>
      <t>  </t>
    </r>
    <r>
      <rPr>
        <sz val="9"/>
        <color theme="1"/>
        <rFont val="Times New Roman"/>
        <family val="1"/>
      </rPr>
      <t>Construcciones</t>
    </r>
  </si>
  <si>
    <r>
      <t>·</t>
    </r>
    <r>
      <rPr>
        <sz val="7"/>
        <color theme="1"/>
        <rFont val="Times New Roman"/>
        <family val="1"/>
      </rPr>
      <t>  </t>
    </r>
    <r>
      <rPr>
        <sz val="9"/>
        <color theme="1"/>
        <rFont val="Times New Roman"/>
        <family val="1"/>
      </rPr>
      <t>Instalaciones</t>
    </r>
  </si>
  <si>
    <r>
      <t>·</t>
    </r>
    <r>
      <rPr>
        <sz val="7"/>
        <color theme="1"/>
        <rFont val="Times New Roman"/>
        <family val="1"/>
      </rPr>
      <t>  </t>
    </r>
    <r>
      <rPr>
        <sz val="9"/>
        <color theme="1"/>
        <rFont val="Times New Roman"/>
        <family val="1"/>
      </rPr>
      <t>Maquinarias</t>
    </r>
  </si>
  <si>
    <r>
      <t xml:space="preserve">·  </t>
    </r>
    <r>
      <rPr>
        <sz val="9"/>
        <color theme="1"/>
        <rFont val="Times New Roman"/>
        <family val="1"/>
      </rPr>
      <t>Equipos</t>
    </r>
  </si>
  <si>
    <r>
      <t>·</t>
    </r>
    <r>
      <rPr>
        <sz val="7"/>
        <color theme="1"/>
        <rFont val="Times New Roman"/>
        <family val="1"/>
      </rPr>
      <t>  </t>
    </r>
    <r>
      <rPr>
        <sz val="9"/>
        <color theme="1"/>
        <rFont val="Times New Roman"/>
        <family val="1"/>
      </rPr>
      <t>Capital de trabajo en ejecución</t>
    </r>
  </si>
  <si>
    <r>
      <t xml:space="preserve">·  </t>
    </r>
    <r>
      <rPr>
        <sz val="9"/>
        <color theme="1"/>
        <rFont val="Times New Roman"/>
        <family val="1"/>
      </rPr>
      <t>Reparación, Reposición y Mantenimiento de activos fijos</t>
    </r>
  </si>
  <si>
    <r>
      <t>·  I</t>
    </r>
    <r>
      <rPr>
        <sz val="9"/>
        <color theme="1"/>
        <rFont val="Times New Roman"/>
        <family val="1"/>
      </rPr>
      <t>mpacto ambiental</t>
    </r>
  </si>
  <si>
    <r>
      <t xml:space="preserve">·  </t>
    </r>
    <r>
      <rPr>
        <sz val="9"/>
        <color theme="1"/>
        <rFont val="Times New Roman"/>
        <family val="1"/>
      </rPr>
      <t>Imprevistos</t>
    </r>
  </si>
  <si>
    <r>
      <t xml:space="preserve">·  </t>
    </r>
    <r>
      <rPr>
        <sz val="9"/>
        <color theme="1"/>
        <rFont val="Times New Roman"/>
        <family val="1"/>
      </rPr>
      <t>Insumos y materias primas</t>
    </r>
  </si>
  <si>
    <r>
      <t xml:space="preserve">·  </t>
    </r>
    <r>
      <rPr>
        <sz val="9"/>
        <color theme="1"/>
        <rFont val="Times New Roman"/>
        <family val="1"/>
      </rPr>
      <t>Mano de obra</t>
    </r>
  </si>
  <si>
    <r>
      <t xml:space="preserve">·  </t>
    </r>
    <r>
      <rPr>
        <sz val="9"/>
        <color theme="1"/>
        <rFont val="Times New Roman"/>
        <family val="1"/>
      </rPr>
      <t xml:space="preserve">Servicios </t>
    </r>
  </si>
  <si>
    <r>
      <t xml:space="preserve">·  </t>
    </r>
    <r>
      <rPr>
        <sz val="9"/>
        <color theme="1"/>
        <rFont val="Times New Roman"/>
        <family val="1"/>
      </rPr>
      <t>Capital de trabajo operación</t>
    </r>
  </si>
  <si>
    <r>
      <t xml:space="preserve">·  </t>
    </r>
    <r>
      <rPr>
        <sz val="9"/>
        <color theme="1"/>
        <rFont val="Times New Roman"/>
        <family val="1"/>
      </rPr>
      <t>Impacto ambiental</t>
    </r>
  </si>
  <si>
    <r>
      <t xml:space="preserve">·  </t>
    </r>
    <r>
      <rPr>
        <sz val="9"/>
        <color theme="1"/>
        <rFont val="Times New Roman"/>
        <family val="1"/>
      </rPr>
      <t>Adecuaciones legales</t>
    </r>
  </si>
  <si>
    <t>Año 9</t>
  </si>
  <si>
    <t>Año 10</t>
  </si>
  <si>
    <t>(Esta Planilla se puede utilizar para plantear la Evaluación Económica o la Evaluación Financiera)</t>
  </si>
  <si>
    <t>INSTITUCION RESPONSABLE: ......................................................................................................................</t>
  </si>
  <si>
    <t>ALTERNATIVA PROYECTO:  ......................................................................................................................................</t>
  </si>
  <si>
    <t>CODIGO SINIP DEL PROYECTO  (Banco de Proyectos): ..................................................................................................</t>
  </si>
  <si>
    <r>
      <t xml:space="preserve">(*)  </t>
    </r>
    <r>
      <rPr>
        <sz val="9"/>
        <color theme="1"/>
        <rFont val="Times New Roman"/>
        <family val="1"/>
      </rPr>
      <t>Esta planilla es indicativa. Por tanto los ítems a incluir dependen del proyecto específico que se está evaluando. (Valores en miles de B/. y además, indicar la fecha de los valores y la tasa de descuento anual</t>
    </r>
  </si>
  <si>
    <t>Factor multiplicador  (FM) 0.15</t>
  </si>
  <si>
    <t>Año 3</t>
  </si>
  <si>
    <t>Año 4</t>
  </si>
  <si>
    <t>Año 5</t>
  </si>
  <si>
    <t>Año 6</t>
  </si>
  <si>
    <t>Año 7</t>
  </si>
  <si>
    <t>Año 8</t>
  </si>
  <si>
    <t>TIR(D31:N31,0.15)</t>
  </si>
  <si>
    <t>VNA(0.15,E31:N31)+D31</t>
  </si>
  <si>
    <t>SISTEMA NACIONAL DE INVERSIONES PÚBLICAS (SINIP)  Ejemplo Financiero</t>
  </si>
  <si>
    <t>Relación Beneficio/Costo (15%):  VNA(0.15, E8:N8) / VNA(0.15, E12:N12) + D31</t>
  </si>
  <si>
    <t>Nota: Están consideradas las inversiones diferidas, para este caso el Estudio de Impacto Ambiental, no se incluye el valor de rescate de los activos.  Además no incluye depreciación ni gastos de amortización de activos nominales.  Ni impuestos.</t>
  </si>
  <si>
    <t>Opción A</t>
  </si>
  <si>
    <t>Año</t>
  </si>
  <si>
    <t xml:space="preserve">Beneficiarios </t>
  </si>
  <si>
    <t>Beneficiarios Promedio=</t>
  </si>
  <si>
    <t>Opción B</t>
  </si>
  <si>
    <t xml:space="preserve">Costos </t>
  </si>
  <si>
    <t>Cuadro No.1</t>
  </si>
  <si>
    <t>Costos de Terrenos</t>
  </si>
  <si>
    <t>Identificación del terreno</t>
  </si>
  <si>
    <t>Unidad de medida</t>
  </si>
  <si>
    <t>Dimensión</t>
  </si>
  <si>
    <t>Costo Unitario</t>
  </si>
  <si>
    <t>Costo Total</t>
  </si>
  <si>
    <t>No. / Localidad</t>
  </si>
  <si>
    <t>Cuadro No.2</t>
  </si>
  <si>
    <t>Costos en Infraestructuras</t>
  </si>
  <si>
    <t>Naturaleza de la Obra</t>
  </si>
  <si>
    <t>Cantidad o dimensión</t>
  </si>
  <si>
    <t>Vida Util</t>
  </si>
  <si>
    <t>Total</t>
  </si>
  <si>
    <t>Cuadro No.3</t>
  </si>
  <si>
    <t>Costos de Equipos</t>
  </si>
  <si>
    <t>Equipos</t>
  </si>
  <si>
    <t>Cantidad</t>
  </si>
  <si>
    <t>Valor Adquisic. Unitario $</t>
  </si>
  <si>
    <t>Valor Adquisic. Total $</t>
  </si>
  <si>
    <t>Años de vida útil</t>
  </si>
  <si>
    <t>Cuadro No.4</t>
  </si>
  <si>
    <t>Costos de Recursos Humanos</t>
  </si>
  <si>
    <t>Rublo</t>
  </si>
  <si>
    <t>Número</t>
  </si>
  <si>
    <t>Costo de Reclutamiento</t>
  </si>
  <si>
    <t>Costo de Contratación</t>
  </si>
  <si>
    <t>Costo de capacitación</t>
  </si>
  <si>
    <t>Personal a nivel Gerencial</t>
  </si>
  <si>
    <t>Personal nivel tecnico / profesional</t>
  </si>
  <si>
    <t>Personal nivel Operativo</t>
  </si>
  <si>
    <t>Total General de Costos de Recursos Humanos</t>
  </si>
  <si>
    <t>Detalles</t>
  </si>
  <si>
    <t>Manual detallado de las funciones y responsabilidades del personal</t>
  </si>
  <si>
    <t>Normas y procedimientos</t>
  </si>
  <si>
    <t>Sistemas de control de la operación</t>
  </si>
  <si>
    <t>Renglones de diversa indole</t>
  </si>
  <si>
    <t>Registros o inscripciones oficiales</t>
  </si>
  <si>
    <t>Obtetención de licencias</t>
  </si>
  <si>
    <t>Costos de Inversiones en Planificación de la Operación</t>
  </si>
  <si>
    <t>Total de Inversiones en Planificación de la Operación</t>
  </si>
  <si>
    <t>Cuadro No.6</t>
  </si>
  <si>
    <t>Costos de Imprevistos de la Inversión Inicial (*)</t>
  </si>
  <si>
    <t>Renglones de Imprevistos</t>
  </si>
  <si>
    <t>Costo Total por recurso</t>
  </si>
  <si>
    <t xml:space="preserve">Costo Total de la Actividad </t>
  </si>
  <si>
    <t>(*) Basado en un porcentaje de la inversión inicial</t>
  </si>
  <si>
    <t>Cuadro No. 7</t>
  </si>
  <si>
    <t xml:space="preserve">Resumen de los Costos de Inversión Inicial </t>
  </si>
  <si>
    <t>Concepto</t>
  </si>
  <si>
    <t>Terrenos</t>
  </si>
  <si>
    <t>Inversiones en Infraestructura</t>
  </si>
  <si>
    <t>Inversiones en Equipamiento</t>
  </si>
  <si>
    <t>Inversiones en Recursos Humanos</t>
  </si>
  <si>
    <t>Inversiones en Planificacion de la Operación</t>
  </si>
  <si>
    <t>Imprevistos</t>
  </si>
  <si>
    <t>Maquinaria</t>
  </si>
  <si>
    <t>Herramientas</t>
  </si>
  <si>
    <t>Instrumentos</t>
  </si>
  <si>
    <t>Vehículos</t>
  </si>
  <si>
    <t>Costo Total de Equipos</t>
  </si>
  <si>
    <t>(*)</t>
  </si>
  <si>
    <t>(*) Incluye Montaje</t>
  </si>
  <si>
    <t>CUADRO No.9</t>
  </si>
  <si>
    <t>COSTOS DE RECURSOS HUMANOS PARA LA OPERACIÓN</t>
  </si>
  <si>
    <t xml:space="preserve">                    Cantidad:________ Unidades producidas o servidas</t>
  </si>
  <si>
    <t>Número de personas</t>
  </si>
  <si>
    <t>Remuneración persona/año</t>
  </si>
  <si>
    <t>Costo  total</t>
  </si>
  <si>
    <t>TOTAL RECURSO HUMANO</t>
  </si>
  <si>
    <t>Cargos</t>
  </si>
  <si>
    <t>CUADRO No. 10</t>
  </si>
  <si>
    <t>MATERIALES PARA OPERACION</t>
  </si>
  <si>
    <t xml:space="preserve">                      Cantidad: _____________ Unidades producidas o servidas</t>
  </si>
  <si>
    <t>Tipo de material</t>
  </si>
  <si>
    <t>Costo unitario</t>
  </si>
  <si>
    <t>Insumos principales</t>
  </si>
  <si>
    <t>Materiales complementarios</t>
  </si>
  <si>
    <t>Costo Total, insumos y materiales</t>
  </si>
  <si>
    <t>CUADRO No.11</t>
  </si>
  <si>
    <t>COSTOS DE ENERGIA, COMUNICACIONES Y COMBUSTIBLES PARA LA OPERACION</t>
  </si>
  <si>
    <t>Cantidad: ___________   Unidades producidas o servicios</t>
  </si>
  <si>
    <t>COMPONENTE</t>
  </si>
  <si>
    <t>Energía</t>
  </si>
  <si>
    <t>Comunicaciones</t>
  </si>
  <si>
    <t>Combustibles</t>
  </si>
  <si>
    <t>Costo Total, energía y combustible</t>
  </si>
  <si>
    <t>CUADRO No. 12</t>
  </si>
  <si>
    <t>COSTOS DE SEGUROS, IMPUESTOS Y ALQUILERES</t>
  </si>
  <si>
    <t xml:space="preserve">  Período a cubrir:</t>
  </si>
  <si>
    <t>Descripción</t>
  </si>
  <si>
    <t>Area o sección cubierta o rentada</t>
  </si>
  <si>
    <t>Seguros</t>
  </si>
  <si>
    <t>Impuestos</t>
  </si>
  <si>
    <t>Alquileres</t>
  </si>
  <si>
    <t>Total costo seguro, impuestos y alquileres</t>
  </si>
  <si>
    <t>CUADRO No. 13</t>
  </si>
  <si>
    <t>Inversiones (del cuadro No. Distribuido en el tiempo)</t>
  </si>
  <si>
    <t>Años/costos</t>
  </si>
  <si>
    <t>Año n</t>
  </si>
  <si>
    <t>Costos Totales</t>
  </si>
  <si>
    <t>Costo de mantenimiento 1%</t>
  </si>
  <si>
    <t>CUADRO No. 14</t>
  </si>
  <si>
    <t>Renglon de Imprevistos</t>
  </si>
  <si>
    <t>Costo Total de la Actividad</t>
  </si>
  <si>
    <t>(*) Basado en un porcentaje de la operación o funcionamiento</t>
  </si>
  <si>
    <t>Costo Total por renglon</t>
  </si>
  <si>
    <t>COSTOS DE ENERGIA, COMUNICACIONES Y COMBUSTIBLES PARA LA OPERACIÓN</t>
  </si>
  <si>
    <t>COSTO DE MATERIALES</t>
  </si>
  <si>
    <t>COSTOS DE MANTENIMIENTO DE EQUIPAMIENTO</t>
  </si>
  <si>
    <t>COSTOS DE MANTENIMIENTO DE INFRAESTRUCTURAS</t>
  </si>
  <si>
    <t>CUADRO No. 15</t>
  </si>
  <si>
    <t>COSTOS DE MANTENIMIENTO EQUIPAMIENTO</t>
  </si>
  <si>
    <t>IMPREVISTOS DE OPERACIÓN (*)</t>
  </si>
  <si>
    <t>IMPREVISTOS DE OPERACIÓN</t>
  </si>
  <si>
    <t>RESUMEN DE LOS COSTOS DE OPERACIÓN O FUNCIONAMIENTO</t>
  </si>
  <si>
    <t>CUADRO No. 16</t>
  </si>
  <si>
    <t>Costos Total</t>
  </si>
  <si>
    <t>CUADRO No. 5</t>
  </si>
  <si>
    <t>Cuadro No. 8</t>
  </si>
  <si>
    <t>COSTOS DE MATERIALES PARA INVERSIÓN INICIAL</t>
  </si>
  <si>
    <t>Materiales para Inversión Inicial</t>
  </si>
  <si>
    <r>
      <t>·</t>
    </r>
    <r>
      <rPr>
        <b/>
        <sz val="7"/>
        <color theme="1"/>
        <rFont val="Times New Roman"/>
        <family val="1"/>
      </rPr>
      <t xml:space="preserve">       </t>
    </r>
    <r>
      <rPr>
        <b/>
        <sz val="9"/>
        <color theme="1"/>
        <rFont val="Times New Roman"/>
        <family val="1"/>
      </rPr>
      <t>Costos de Inversión</t>
    </r>
  </si>
  <si>
    <r>
      <t>·</t>
    </r>
    <r>
      <rPr>
        <b/>
        <sz val="7"/>
        <color theme="1"/>
        <rFont val="Times New Roman"/>
        <family val="1"/>
      </rPr>
      <t xml:space="preserve">       </t>
    </r>
    <r>
      <rPr>
        <b/>
        <sz val="9"/>
        <color theme="1"/>
        <rFont val="Times New Roman"/>
        <family val="1"/>
      </rPr>
      <t>Costos de Operación</t>
    </r>
  </si>
  <si>
    <t>Entregables / Hitos</t>
  </si>
  <si>
    <t>Área/Proyecto</t>
  </si>
  <si>
    <t>Responsable</t>
  </si>
  <si>
    <t>Observaciones</t>
  </si>
  <si>
    <t>1- Adquisición de Equipo Informático</t>
  </si>
  <si>
    <t>Oficina de Informática</t>
  </si>
  <si>
    <t>Computadoras</t>
  </si>
  <si>
    <t>Regionales Colón, Darién y Sede Central</t>
  </si>
  <si>
    <t>Reforzar la red institucional con 7 equipos de nueva generación para reemplazo de equipo obsoleto</t>
  </si>
  <si>
    <t>Reguladores de voltaje</t>
  </si>
  <si>
    <t>Regionales todas y Sede Central</t>
  </si>
  <si>
    <t>Contar con 50 instrumentos de protección de las fluctuaciones eléctricas</t>
  </si>
  <si>
    <t>2- Adquisición de Equipo Tecnológico</t>
  </si>
  <si>
    <t>Dirección de Administración y Finanzas</t>
  </si>
  <si>
    <t>Adquisición de equipos y softwares.</t>
  </si>
  <si>
    <t>Sede Central</t>
  </si>
  <si>
    <t>Oficina de Tecnología Asistiva</t>
  </si>
  <si>
    <t>Mantener la Oficina de Tecnología Asistiva con 4 equipo y 4 softwares actualizados.</t>
  </si>
  <si>
    <t>Relojes de Marcación de Personal</t>
  </si>
  <si>
    <t>Regionales y Sede Central</t>
  </si>
  <si>
    <t>Oficina Institucional de R.Humanos</t>
  </si>
  <si>
    <t>Dotar con 9 relojes de marcación a las Regionales y las Direcciones de la Sede Central con relojes de marcación de entrada y salida del personal.</t>
  </si>
  <si>
    <t>3- Otros Equipos</t>
  </si>
  <si>
    <t>Adquisición de aires acondicionados</t>
  </si>
  <si>
    <t>DAF</t>
  </si>
  <si>
    <t>Remplazo de unidades obsoletas por 4 equipos nuevos.</t>
  </si>
  <si>
    <t>4- Aquisición de Mobiliario de oficina</t>
  </si>
  <si>
    <t xml:space="preserve">Mesas de reuniones </t>
  </si>
  <si>
    <t>A nivel de tres Regionales</t>
  </si>
  <si>
    <t xml:space="preserve">Equipar con 3 meses de reuniones para las Regionales de Chiriquí, Veraguas y Darién con áreas para reuniones. </t>
  </si>
  <si>
    <t>Ejemplo Flujo Financiero Sin Financiamiento</t>
  </si>
  <si>
    <t>Flujo Financiero Proyecto Cooperativo para promoción Fincas Comunales Agropecuarias</t>
  </si>
  <si>
    <t>DETALLE</t>
  </si>
  <si>
    <t>Inversiones</t>
  </si>
  <si>
    <t>Instalaciones y equipos</t>
  </si>
  <si>
    <t>Capital de Trabajo Inicial</t>
  </si>
  <si>
    <t>(Animales Reproductoras)</t>
  </si>
  <si>
    <t>Costos de Operación</t>
  </si>
  <si>
    <t>Costos de producción</t>
  </si>
  <si>
    <t>Producción nueva 450 madres</t>
  </si>
  <si>
    <t>Costos Engorde</t>
  </si>
  <si>
    <t>Mantenimiento madres productoras</t>
  </si>
  <si>
    <t>Mano de Obra Directa</t>
  </si>
  <si>
    <t>Servicios técnicos (Salud, bio-seguridad, vacunas y otros)</t>
  </si>
  <si>
    <t>Depreciación</t>
  </si>
  <si>
    <t>Costos producción proy. De Ceba</t>
  </si>
  <si>
    <t>Compra de materia prima</t>
  </si>
  <si>
    <t>Crianza, Desarrollo y Engorde</t>
  </si>
  <si>
    <t>Costos de Administración</t>
  </si>
  <si>
    <t>Costos adminitrativos</t>
  </si>
  <si>
    <t>Papeleria y equipos</t>
  </si>
  <si>
    <t>Costos de Ventas</t>
  </si>
  <si>
    <t>Gestión de Venta</t>
  </si>
  <si>
    <t>Costos Financieros</t>
  </si>
  <si>
    <t>Intereses</t>
  </si>
  <si>
    <t>Ingresos</t>
  </si>
  <si>
    <t xml:space="preserve">Ingresos por descarte </t>
  </si>
  <si>
    <t>Ingresos Proy. Ceba</t>
  </si>
  <si>
    <t>Ingresos Producción nueva</t>
  </si>
  <si>
    <t>Utilidad Bruta</t>
  </si>
  <si>
    <t>Utilidad Neta</t>
  </si>
  <si>
    <t>Valor de Rescate Infraestructura y equipos</t>
  </si>
  <si>
    <t>Amortización Capital</t>
  </si>
  <si>
    <t>Crédito</t>
  </si>
  <si>
    <t>Capital de Trabajo</t>
  </si>
  <si>
    <t>Flujo Neto</t>
  </si>
  <si>
    <t>TREMA</t>
  </si>
  <si>
    <t>Valor Actual Neto, VAN</t>
  </si>
  <si>
    <t>Tasa Interna de Retorno, TIR</t>
  </si>
  <si>
    <t>Relación Beneficio Costo</t>
  </si>
  <si>
    <t>Flujo Financiero con Financiamiento
Proyecto Cooperativo para promoción Fincas Comunales</t>
  </si>
  <si>
    <t>NOMBRE DEL PROYECTO</t>
  </si>
  <si>
    <t>LISTADO DE EQUIPO A DEPRECIAR POR LINEA RECTA</t>
  </si>
  <si>
    <t>(Valores en Balboas)</t>
  </si>
  <si>
    <t>Costo</t>
  </si>
  <si>
    <t>Vida</t>
  </si>
  <si>
    <t>Valor</t>
  </si>
  <si>
    <t>DETALLES</t>
  </si>
  <si>
    <t>Unitario</t>
  </si>
  <si>
    <t>Util</t>
  </si>
  <si>
    <t>de Rescate</t>
  </si>
  <si>
    <t>Mensual</t>
  </si>
  <si>
    <t>anual</t>
  </si>
  <si>
    <t>(1)</t>
  </si>
  <si>
    <t>(2)</t>
  </si>
  <si>
    <t>(3)</t>
  </si>
  <si>
    <t>(4)</t>
  </si>
  <si>
    <t>(5)</t>
  </si>
  <si>
    <t>(6) = ((3-5)/4)/12</t>
  </si>
  <si>
    <t>(7) = (6*12)</t>
  </si>
  <si>
    <t xml:space="preserve">  EQUIPO DE PRODUCCION</t>
  </si>
  <si>
    <t>Maquinarias</t>
  </si>
  <si>
    <t>Equipo Rodante</t>
  </si>
  <si>
    <t>Equipos Agropecuarios</t>
  </si>
  <si>
    <t>Mobiliarios</t>
  </si>
  <si>
    <t xml:space="preserve">  Depreciación anual</t>
  </si>
  <si>
    <t xml:space="preserve">  EQUIPO ADMINISTRATIVO</t>
  </si>
  <si>
    <t>Construcciones</t>
  </si>
  <si>
    <t>Edificaciones</t>
  </si>
  <si>
    <t>Ingresos (Bi)</t>
  </si>
  <si>
    <t>SISTEMA NACIONAL DE INVERSIONES PÚBLICAS (SINIP)  Ejemplo Económico</t>
  </si>
  <si>
    <r>
      <t xml:space="preserve">· </t>
    </r>
    <r>
      <rPr>
        <sz val="9"/>
        <color theme="1"/>
        <rFont val="Times New Roman"/>
        <family val="1"/>
      </rPr>
      <t>Reparación, Reposición y Mantenimiento de activos fijos</t>
    </r>
  </si>
  <si>
    <r>
      <t xml:space="preserve">CRONOGRAMA DE ACTIVIDADES Y DESEMBOLSOS VIGENCIA </t>
    </r>
    <r>
      <rPr>
        <b/>
        <u/>
        <sz val="12"/>
        <color theme="1"/>
        <rFont val="Calibri"/>
        <family val="2"/>
        <scheme val="minor"/>
      </rPr>
      <t>2023</t>
    </r>
    <r>
      <rPr>
        <b/>
        <sz val="12"/>
        <color theme="1"/>
        <rFont val="Calibri"/>
        <family val="2"/>
        <scheme val="minor"/>
      </rPr>
      <t xml:space="preserve"> DEL PROYECTO DE EQUIPAMIENTO DE MOBILIARIO Y EQUIPOS  EN LA SEDE CENTRAL Y REGIONALES </t>
    </r>
  </si>
  <si>
    <t>Enero</t>
  </si>
  <si>
    <t>Febrero</t>
  </si>
  <si>
    <t>Marzo</t>
  </si>
  <si>
    <t>Abril</t>
  </si>
  <si>
    <t>Mayo</t>
  </si>
  <si>
    <t>Junio</t>
  </si>
  <si>
    <t>Julio</t>
  </si>
  <si>
    <t>Agosto</t>
  </si>
  <si>
    <t>Septiembre</t>
  </si>
  <si>
    <t>Octubre</t>
  </si>
  <si>
    <t>Noviembre</t>
  </si>
  <si>
    <t>Diciembre</t>
  </si>
  <si>
    <t>Presupuesto Estimado por Entregable</t>
  </si>
  <si>
    <t>TOTAL Estimado Ejecutado</t>
  </si>
  <si>
    <t>El color verde indica el tiempo de realizacion del hito</t>
  </si>
  <si>
    <t>Ingresos netos anuales  (Bi  -  Ci)</t>
  </si>
  <si>
    <t>VAC= C5+VNA(0.12,D5:H5)</t>
  </si>
  <si>
    <t>suma (C4:G4)/5</t>
  </si>
  <si>
    <t>VAC= C15+VNA(0.12,D15:H15)</t>
  </si>
  <si>
    <t>CAE=PAGO(tasa 0.12, vida util 5, VAC -30,209,552</t>
  </si>
  <si>
    <t>CAE=PAGO(tasa 0.12, vida útil 5, VAC -25,702,371</t>
  </si>
  <si>
    <t>suma (D14:H14)/5</t>
  </si>
  <si>
    <t>ICE= G8/G9</t>
  </si>
  <si>
    <t>ICE= G18/G19</t>
  </si>
  <si>
    <t>Costos de Funcionamiento</t>
  </si>
  <si>
    <t>Análisis de Sensibilidad - Aumento del 25% en los Ingresos</t>
  </si>
  <si>
    <t>Análisis de Sensibilidad - Aumento del 25% en los ingresos</t>
  </si>
  <si>
    <t>Ejemplo Flujo Financiero con Financiamiento Externo</t>
  </si>
  <si>
    <t>Costos</t>
  </si>
  <si>
    <t>Ingresos Actualizados</t>
  </si>
  <si>
    <t>Costos Actualizados</t>
  </si>
  <si>
    <t>Totales</t>
  </si>
  <si>
    <t>Factor de actualizacion al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</si>
</sst>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quot;B/.&quot;\ #,##0.00_);[Red]\(&quot;B/.&quot;\ #,##0.00\)"/>
    <numFmt numFmtId="165" formatCode="0.000"/>
    <numFmt numFmtId="166" formatCode="#,##0;[Red]#,##0"/>
    <numFmt numFmtId="167" formatCode="_-[$RD$-1C0A]* #,##0_ ;_-[$RD$-1C0A]* \-#,##0\ ;_-[$RD$-1C0A]* &quot;-&quot;??_ ;_-@_ "/>
    <numFmt numFmtId="168" formatCode="_(* #,##0_);_(* \(#,##0\);_(* &quot;-&quot;??_);_(@_)"/>
    <numFmt numFmtId="169" formatCode="0_)"/>
    <numFmt numFmtId="170" formatCode="0.0_)"/>
    <numFmt numFmtId="171" formatCode="#,##0_ ;[Red]\-#,##0\ "/>
    <numFmt numFmtId="172" formatCode="#,##0.000"/>
    <numFmt numFmtId="173" formatCode="0.0000%"/>
  </numFmts>
  <fonts count="47" x14ac:knownFonts="1">
    <font>
      <sz val="11"/>
      <color theme="1"/>
      <name val="Calibri"/>
      <family val="2"/>
      <scheme val="minor"/>
    </font>
    <font>
      <b/>
      <sz val="11"/>
      <color theme="1"/>
      <name val="Calibri"/>
      <family val="2"/>
      <scheme val="minor"/>
    </font>
    <font>
      <b/>
      <sz val="9"/>
      <color theme="1"/>
      <name val="Times New Roman"/>
      <family val="1"/>
    </font>
    <font>
      <sz val="9"/>
      <color theme="1"/>
      <name val="Times New Roman"/>
      <family val="1"/>
    </font>
    <font>
      <sz val="9"/>
      <color theme="1"/>
      <name val="Symbol"/>
      <family val="1"/>
      <charset val="2"/>
    </font>
    <font>
      <sz val="7"/>
      <color theme="1"/>
      <name val="Times New Roman"/>
      <family val="1"/>
    </font>
    <font>
      <sz val="10"/>
      <color theme="1"/>
      <name val="Times New Roman"/>
      <family val="1"/>
    </font>
    <font>
      <sz val="12"/>
      <color theme="1"/>
      <name val="Times New Roman"/>
      <family val="1"/>
    </font>
    <font>
      <b/>
      <sz val="9"/>
      <color rgb="FFFF0000"/>
      <name val="Times New Roman"/>
      <family val="1"/>
    </font>
    <font>
      <sz val="9"/>
      <color rgb="FFFF0000"/>
      <name val="Times New Roman"/>
      <family val="1"/>
    </font>
    <font>
      <b/>
      <sz val="12"/>
      <color theme="1"/>
      <name val="Calibri"/>
      <family val="2"/>
      <scheme val="minor"/>
    </font>
    <font>
      <sz val="12"/>
      <color theme="1"/>
      <name val="Calibri"/>
      <family val="2"/>
      <scheme val="minor"/>
    </font>
    <font>
      <sz val="10"/>
      <color theme="1"/>
      <name val="Calibri"/>
      <family val="2"/>
      <scheme val="minor"/>
    </font>
    <font>
      <sz val="11"/>
      <color theme="1"/>
      <name val="Calibri"/>
      <family val="2"/>
      <scheme val="minor"/>
    </font>
    <font>
      <b/>
      <sz val="9"/>
      <color theme="1"/>
      <name val="Symbol"/>
      <family val="1"/>
      <charset val="2"/>
    </font>
    <font>
      <b/>
      <sz val="7"/>
      <color theme="1"/>
      <name val="Times New Roman"/>
      <family val="1"/>
    </font>
    <font>
      <b/>
      <sz val="10"/>
      <color theme="1"/>
      <name val="Arial"/>
      <family val="2"/>
    </font>
    <font>
      <b/>
      <sz val="9"/>
      <color theme="1"/>
      <name val="Arial"/>
      <family val="2"/>
    </font>
    <font>
      <sz val="9"/>
      <color theme="1"/>
      <name val="Calibri"/>
      <family val="2"/>
      <scheme val="minor"/>
    </font>
    <font>
      <sz val="9"/>
      <color theme="1"/>
      <name val="Arial"/>
      <family val="2"/>
    </font>
    <font>
      <sz val="8"/>
      <color theme="1"/>
      <name val="Arial"/>
      <family val="2"/>
    </font>
    <font>
      <sz val="9"/>
      <name val="Arial"/>
      <family val="2"/>
    </font>
    <font>
      <b/>
      <sz val="9"/>
      <color theme="1"/>
      <name val="Calibri"/>
      <family val="2"/>
      <scheme val="minor"/>
    </font>
    <font>
      <sz val="36"/>
      <color theme="4" tint="-0.249977111117893"/>
      <name val="Calibri"/>
      <family val="2"/>
      <scheme val="minor"/>
    </font>
    <font>
      <b/>
      <sz val="22"/>
      <color theme="1"/>
      <name val="Calibri"/>
      <family val="2"/>
      <scheme val="minor"/>
    </font>
    <font>
      <b/>
      <sz val="24"/>
      <color theme="1"/>
      <name val="Calibri"/>
      <family val="2"/>
      <scheme val="minor"/>
    </font>
    <font>
      <b/>
      <sz val="18"/>
      <color theme="1"/>
      <name val="Calibri"/>
      <family val="2"/>
      <scheme val="minor"/>
    </font>
    <font>
      <b/>
      <sz val="16"/>
      <color theme="1"/>
      <name val="Calibri"/>
      <family val="2"/>
      <scheme val="minor"/>
    </font>
    <font>
      <b/>
      <i/>
      <sz val="16"/>
      <color theme="1"/>
      <name val="Calibri"/>
      <family val="2"/>
      <scheme val="minor"/>
    </font>
    <font>
      <sz val="16"/>
      <color theme="1"/>
      <name val="Calibri"/>
      <family val="2"/>
      <scheme val="minor"/>
    </font>
    <font>
      <b/>
      <u/>
      <sz val="16"/>
      <color theme="1"/>
      <name val="Calibri"/>
      <family val="2"/>
      <scheme val="minor"/>
    </font>
    <font>
      <b/>
      <sz val="14"/>
      <color theme="1"/>
      <name val="Calibri"/>
      <family val="2"/>
      <scheme val="minor"/>
    </font>
    <font>
      <b/>
      <sz val="24"/>
      <color theme="4" tint="-0.249977111117893"/>
      <name val="Calibri"/>
      <family val="2"/>
      <scheme val="minor"/>
    </font>
    <font>
      <b/>
      <sz val="12"/>
      <name val="Helv"/>
    </font>
    <font>
      <b/>
      <sz val="14"/>
      <name val="Helv"/>
    </font>
    <font>
      <b/>
      <sz val="12"/>
      <name val="Arial"/>
      <family val="2"/>
    </font>
    <font>
      <b/>
      <sz val="10"/>
      <name val="Arial"/>
      <family val="2"/>
    </font>
    <font>
      <b/>
      <sz val="7"/>
      <name val="Arial"/>
      <family val="2"/>
    </font>
    <font>
      <b/>
      <sz val="9"/>
      <name val="Arial"/>
      <family val="2"/>
    </font>
    <font>
      <sz val="11"/>
      <color theme="1"/>
      <name val="Arial"/>
      <family val="2"/>
    </font>
    <font>
      <sz val="10"/>
      <name val="Arial"/>
      <family val="2"/>
    </font>
    <font>
      <sz val="10"/>
      <color theme="1"/>
      <name val="Arial"/>
      <family val="2"/>
    </font>
    <font>
      <sz val="12"/>
      <name val="Arial"/>
      <family val="2"/>
    </font>
    <font>
      <b/>
      <u/>
      <sz val="12"/>
      <color theme="1"/>
      <name val="Calibri"/>
      <family val="2"/>
      <scheme val="minor"/>
    </font>
    <font>
      <b/>
      <sz val="8"/>
      <color theme="1"/>
      <name val="Arial"/>
      <family val="2"/>
    </font>
    <font>
      <b/>
      <sz val="26"/>
      <color theme="1"/>
      <name val="Calibri"/>
      <family val="2"/>
      <scheme val="minor"/>
    </font>
    <font>
      <sz val="16"/>
      <color rgb="FFFF0000"/>
      <name val="Calibri"/>
      <family val="2"/>
      <scheme val="minor"/>
    </font>
  </fonts>
  <fills count="17">
    <fill>
      <patternFill patternType="none"/>
    </fill>
    <fill>
      <patternFill patternType="gray125"/>
    </fill>
    <fill>
      <patternFill patternType="solid">
        <fgColor rgb="FFC0C0C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rgb="FF6699FF"/>
        <bgColor indexed="64"/>
      </patternFill>
    </fill>
    <fill>
      <patternFill patternType="solid">
        <fgColor rgb="FF92D05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79998168889431442"/>
        <bgColor indexed="8"/>
      </patternFill>
    </fill>
    <fill>
      <patternFill patternType="solid">
        <fgColor theme="9" tint="0.59999389629810485"/>
        <bgColor indexed="64"/>
      </patternFill>
    </fill>
    <fill>
      <patternFill patternType="solid">
        <fgColor theme="4" tint="0.39994506668294322"/>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top/>
      <bottom style="thick">
        <color indexed="64"/>
      </bottom>
      <diagonal/>
    </border>
    <border>
      <left/>
      <right/>
      <top/>
      <bottom style="thin">
        <color indexed="64"/>
      </bottom>
      <diagonal/>
    </border>
    <border>
      <left/>
      <right style="thick">
        <color indexed="64"/>
      </right>
      <top/>
      <bottom/>
      <diagonal/>
    </border>
    <border>
      <left/>
      <right style="thin">
        <color indexed="64"/>
      </right>
      <top style="thin">
        <color indexed="64"/>
      </top>
      <bottom style="thin">
        <color indexed="64"/>
      </bottom>
      <diagonal/>
    </border>
    <border>
      <left style="thick">
        <color indexed="64"/>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auto="1"/>
      </right>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bottom/>
      <diagonal/>
    </border>
    <border>
      <left style="thin">
        <color auto="1"/>
      </left>
      <right style="thin">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thin">
        <color auto="1"/>
      </bottom>
      <diagonal/>
    </border>
    <border>
      <left/>
      <right style="medium">
        <color indexed="64"/>
      </right>
      <top style="thin">
        <color auto="1"/>
      </top>
      <bottom style="medium">
        <color indexed="64"/>
      </bottom>
      <diagonal/>
    </border>
    <border>
      <left style="thin">
        <color auto="1"/>
      </left>
      <right style="medium">
        <color auto="1"/>
      </right>
      <top style="medium">
        <color auto="1"/>
      </top>
      <bottom style="medium">
        <color auto="1"/>
      </bottom>
      <diagonal/>
    </border>
    <border>
      <left style="double">
        <color indexed="8"/>
      </left>
      <right/>
      <top style="double">
        <color indexed="8"/>
      </top>
      <bottom/>
      <diagonal/>
    </border>
    <border>
      <left/>
      <right style="double">
        <color indexed="8"/>
      </right>
      <top style="double">
        <color indexed="8"/>
      </top>
      <bottom/>
      <diagonal/>
    </border>
    <border>
      <left style="double">
        <color indexed="8"/>
      </left>
      <right style="thin">
        <color indexed="8"/>
      </right>
      <top style="double">
        <color indexed="8"/>
      </top>
      <bottom/>
      <diagonal/>
    </border>
    <border>
      <left/>
      <right style="thin">
        <color indexed="8"/>
      </right>
      <top style="double">
        <color indexed="8"/>
      </top>
      <bottom/>
      <diagonal/>
    </border>
    <border>
      <left style="thin">
        <color indexed="8"/>
      </left>
      <right style="thin">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style="thin">
        <color indexed="8"/>
      </right>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64"/>
      </right>
      <top/>
      <bottom/>
      <diagonal/>
    </border>
    <border>
      <left style="double">
        <color indexed="8"/>
      </left>
      <right/>
      <top/>
      <bottom style="double">
        <color indexed="8"/>
      </bottom>
      <diagonal/>
    </border>
    <border>
      <left/>
      <right style="double">
        <color indexed="8"/>
      </right>
      <top/>
      <bottom style="double">
        <color indexed="8"/>
      </bottom>
      <diagonal/>
    </border>
    <border>
      <left style="double">
        <color indexed="8"/>
      </left>
      <right style="thin">
        <color indexed="8"/>
      </right>
      <top/>
      <bottom style="double">
        <color indexed="8"/>
      </bottom>
      <diagonal/>
    </border>
    <border>
      <left/>
      <right style="thin">
        <color indexed="8"/>
      </right>
      <top/>
      <bottom style="double">
        <color indexed="8"/>
      </bottom>
      <diagonal/>
    </border>
    <border>
      <left style="thin">
        <color indexed="8"/>
      </left>
      <right style="thin">
        <color indexed="8"/>
      </right>
      <top/>
      <bottom style="double">
        <color indexed="8"/>
      </bottom>
      <diagonal/>
    </border>
    <border>
      <left style="thin">
        <color indexed="8"/>
      </left>
      <right style="thin">
        <color indexed="64"/>
      </right>
      <top/>
      <bottom style="double">
        <color indexed="8"/>
      </bottom>
      <diagonal/>
    </border>
    <border>
      <left style="double">
        <color indexed="8"/>
      </left>
      <right/>
      <top style="double">
        <color indexed="8"/>
      </top>
      <bottom style="thin">
        <color indexed="8"/>
      </bottom>
      <diagonal/>
    </border>
    <border>
      <left/>
      <right style="double">
        <color indexed="8"/>
      </right>
      <top style="double">
        <color indexed="8"/>
      </top>
      <bottom style="thin">
        <color indexed="8"/>
      </bottom>
      <diagonal/>
    </border>
    <border>
      <left style="thin">
        <color indexed="8"/>
      </left>
      <right style="thin">
        <color indexed="64"/>
      </right>
      <top style="double">
        <color indexed="8"/>
      </top>
      <bottom/>
      <diagonal/>
    </border>
    <border>
      <left style="double">
        <color indexed="8"/>
      </left>
      <right/>
      <top style="thin">
        <color indexed="8"/>
      </top>
      <bottom/>
      <diagonal/>
    </border>
    <border>
      <left/>
      <right style="double">
        <color indexed="8"/>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double">
        <color indexed="8"/>
      </left>
      <right/>
      <top style="thin">
        <color indexed="64"/>
      </top>
      <bottom style="thin">
        <color indexed="8"/>
      </bottom>
      <diagonal/>
    </border>
    <border>
      <left/>
      <right style="double">
        <color indexed="8"/>
      </right>
      <top style="thin">
        <color indexed="64"/>
      </top>
      <bottom style="thin">
        <color indexed="8"/>
      </bottom>
      <diagonal/>
    </border>
    <border>
      <left style="double">
        <color indexed="8"/>
      </left>
      <right style="thin">
        <color indexed="8"/>
      </right>
      <top style="thin">
        <color indexed="8"/>
      </top>
      <bottom/>
      <diagonal/>
    </border>
    <border>
      <left style="double">
        <color indexed="8"/>
      </left>
      <right/>
      <top style="thin">
        <color indexed="8"/>
      </top>
      <bottom style="double">
        <color indexed="64"/>
      </bottom>
      <diagonal/>
    </border>
    <border>
      <left/>
      <right style="double">
        <color indexed="8"/>
      </right>
      <top style="thin">
        <color indexed="64"/>
      </top>
      <bottom style="double">
        <color indexed="64"/>
      </bottom>
      <diagonal/>
    </border>
    <border>
      <left style="double">
        <color indexed="8"/>
      </left>
      <right style="thin">
        <color indexed="8"/>
      </right>
      <top style="thin">
        <color indexed="8"/>
      </top>
      <bottom style="double">
        <color indexed="64"/>
      </bottom>
      <diagonal/>
    </border>
    <border>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thin">
        <color indexed="64"/>
      </right>
      <top style="thin">
        <color indexed="8"/>
      </top>
      <bottom style="double">
        <color indexed="64"/>
      </bottom>
      <diagonal/>
    </border>
    <border>
      <left/>
      <right style="double">
        <color indexed="8"/>
      </right>
      <top style="thin">
        <color indexed="8"/>
      </top>
      <bottom style="double">
        <color indexed="64"/>
      </bottom>
      <diagonal/>
    </border>
    <border>
      <left style="double">
        <color indexed="8"/>
      </left>
      <right/>
      <top style="thin">
        <color indexed="8"/>
      </top>
      <bottom style="thin">
        <color indexed="64"/>
      </bottom>
      <diagonal/>
    </border>
    <border>
      <left/>
      <right style="double">
        <color indexed="8"/>
      </right>
      <top style="thin">
        <color indexed="8"/>
      </top>
      <bottom style="thin">
        <color indexed="64"/>
      </bottom>
      <diagonal/>
    </border>
    <border>
      <left/>
      <right style="double">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style="thick">
        <color indexed="64"/>
      </left>
      <right style="thin">
        <color indexed="64"/>
      </right>
      <top style="thin">
        <color indexed="64"/>
      </top>
      <bottom style="thin">
        <color indexed="64"/>
      </bottom>
      <diagonal/>
    </border>
    <border>
      <left/>
      <right style="thick">
        <color indexed="64"/>
      </right>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auto="1"/>
      </top>
      <bottom style="medium">
        <color auto="1"/>
      </bottom>
      <diagonal/>
    </border>
    <border>
      <left style="medium">
        <color indexed="64"/>
      </left>
      <right style="thin">
        <color indexed="64"/>
      </right>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auto="1"/>
      </left>
      <right style="thin">
        <color indexed="64"/>
      </right>
      <top/>
      <bottom/>
      <diagonal/>
    </border>
  </borders>
  <cellStyleXfs count="2">
    <xf numFmtId="0" fontId="0" fillId="0" borderId="0"/>
    <xf numFmtId="43" fontId="13" fillId="0" borderId="0" applyFont="0" applyFill="0" applyBorder="0" applyAlignment="0" applyProtection="0"/>
  </cellStyleXfs>
  <cellXfs count="428">
    <xf numFmtId="0" fontId="0" fillId="0" borderId="0" xfId="0"/>
    <xf numFmtId="0" fontId="3"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2" fillId="0" borderId="1" xfId="0" applyFont="1" applyBorder="1" applyAlignment="1">
      <alignment horizontal="justify" vertical="center" wrapText="1"/>
    </xf>
    <xf numFmtId="0" fontId="2" fillId="2" borderId="1" xfId="0" applyFont="1" applyFill="1" applyBorder="1" applyAlignment="1">
      <alignment horizontal="center" vertical="center" wrapText="1"/>
    </xf>
    <xf numFmtId="3" fontId="3" fillId="0" borderId="0" xfId="0" applyNumberFormat="1" applyFont="1" applyBorder="1" applyAlignment="1">
      <alignment horizontal="right" vertical="center" wrapText="1"/>
    </xf>
    <xf numFmtId="3" fontId="3" fillId="0" borderId="2" xfId="0" applyNumberFormat="1" applyFont="1" applyBorder="1" applyAlignment="1">
      <alignment horizontal="right" vertical="center" wrapText="1"/>
    </xf>
    <xf numFmtId="3" fontId="3" fillId="0" borderId="4" xfId="0" applyNumberFormat="1" applyFont="1" applyBorder="1" applyAlignment="1">
      <alignment horizontal="right" vertical="center" wrapText="1"/>
    </xf>
    <xf numFmtId="0" fontId="0" fillId="0" borderId="0" xfId="0" applyAlignment="1"/>
    <xf numFmtId="3" fontId="2" fillId="0" borderId="1" xfId="0" applyNumberFormat="1" applyFont="1" applyBorder="1" applyAlignment="1">
      <alignment horizontal="right" vertical="center" wrapText="1"/>
    </xf>
    <xf numFmtId="3" fontId="3" fillId="0" borderId="1" xfId="0" applyNumberFormat="1" applyFont="1" applyBorder="1" applyAlignment="1">
      <alignment vertical="center" wrapText="1"/>
    </xf>
    <xf numFmtId="0" fontId="3" fillId="0" borderId="1" xfId="0" applyFont="1" applyBorder="1" applyAlignment="1">
      <alignment vertical="center" wrapText="1"/>
    </xf>
    <xf numFmtId="165" fontId="3" fillId="0" borderId="1" xfId="0" applyNumberFormat="1" applyFont="1" applyBorder="1" applyAlignment="1">
      <alignment vertical="center" wrapText="1"/>
    </xf>
    <xf numFmtId="9" fontId="0" fillId="0" borderId="0" xfId="0" applyNumberFormat="1"/>
    <xf numFmtId="3" fontId="0" fillId="0" borderId="0" xfId="0" applyNumberFormat="1"/>
    <xf numFmtId="164" fontId="0" fillId="0" borderId="0" xfId="0" applyNumberFormat="1"/>
    <xf numFmtId="0" fontId="7" fillId="0" borderId="0" xfId="0" applyFont="1" applyFill="1" applyBorder="1" applyAlignment="1">
      <alignment horizontal="justify" vertical="center" wrapText="1"/>
    </xf>
    <xf numFmtId="3" fontId="3" fillId="0" borderId="7" xfId="0" applyNumberFormat="1" applyFont="1" applyBorder="1" applyAlignment="1">
      <alignment horizontal="right" vertical="center" wrapText="1"/>
    </xf>
    <xf numFmtId="3" fontId="8" fillId="0" borderId="0" xfId="0" applyNumberFormat="1" applyFont="1" applyBorder="1" applyAlignment="1">
      <alignment horizontal="right" vertical="center" wrapText="1"/>
    </xf>
    <xf numFmtId="3" fontId="9" fillId="0" borderId="0" xfId="0" applyNumberFormat="1" applyFont="1" applyBorder="1" applyAlignment="1">
      <alignment horizontal="right" vertical="center" wrapText="1"/>
    </xf>
    <xf numFmtId="3" fontId="8" fillId="0" borderId="2" xfId="0" applyNumberFormat="1" applyFont="1" applyBorder="1" applyAlignment="1">
      <alignment horizontal="right" vertical="center" wrapText="1"/>
    </xf>
    <xf numFmtId="3" fontId="9" fillId="0" borderId="2" xfId="0" applyNumberFormat="1" applyFont="1" applyBorder="1" applyAlignment="1">
      <alignment horizontal="right" vertical="center" wrapText="1"/>
    </xf>
    <xf numFmtId="3" fontId="9" fillId="0" borderId="3" xfId="0" applyNumberFormat="1" applyFont="1" applyBorder="1" applyAlignment="1">
      <alignment horizontal="right" vertical="center" wrapText="1"/>
    </xf>
    <xf numFmtId="3" fontId="9" fillId="0" borderId="1" xfId="0" applyNumberFormat="1" applyFont="1" applyBorder="1" applyAlignment="1">
      <alignment vertical="center" wrapText="1"/>
    </xf>
    <xf numFmtId="3" fontId="8" fillId="0" borderId="1" xfId="0" applyNumberFormat="1" applyFont="1" applyBorder="1" applyAlignment="1">
      <alignment vertical="center" wrapText="1"/>
    </xf>
    <xf numFmtId="3" fontId="2" fillId="0" borderId="1" xfId="0" applyNumberFormat="1" applyFont="1" applyBorder="1" applyAlignment="1">
      <alignment vertical="center" wrapText="1"/>
    </xf>
    <xf numFmtId="166" fontId="0" fillId="0" borderId="0" xfId="0" applyNumberFormat="1"/>
    <xf numFmtId="3" fontId="2" fillId="0" borderId="6" xfId="0" applyNumberFormat="1" applyFont="1" applyFill="1" applyBorder="1" applyAlignment="1">
      <alignment horizontal="right" vertical="center" wrapText="1"/>
    </xf>
    <xf numFmtId="0" fontId="0" fillId="0" borderId="0" xfId="0" applyBorder="1"/>
    <xf numFmtId="0" fontId="0" fillId="0" borderId="1" xfId="0" applyBorder="1"/>
    <xf numFmtId="3" fontId="0" fillId="0" borderId="0" xfId="0" applyNumberFormat="1" applyFill="1" applyBorder="1"/>
    <xf numFmtId="0" fontId="1" fillId="0" borderId="8" xfId="0" applyFont="1" applyBorder="1"/>
    <xf numFmtId="0" fontId="0" fillId="0" borderId="10" xfId="0" applyBorder="1"/>
    <xf numFmtId="0" fontId="0" fillId="0" borderId="12" xfId="0" applyBorder="1" applyAlignment="1"/>
    <xf numFmtId="17" fontId="0" fillId="0" borderId="0" xfId="0" applyNumberFormat="1"/>
    <xf numFmtId="17" fontId="0" fillId="0" borderId="0" xfId="0" applyNumberFormat="1" applyAlignment="1"/>
    <xf numFmtId="0" fontId="6" fillId="0" borderId="0" xfId="0" applyFont="1" applyAlignment="1">
      <alignment horizontal="justify" vertical="center"/>
    </xf>
    <xf numFmtId="0" fontId="0" fillId="0" borderId="0" xfId="0" quotePrefix="1"/>
    <xf numFmtId="0" fontId="0" fillId="0" borderId="11" xfId="0" applyBorder="1" applyAlignment="1"/>
    <xf numFmtId="0" fontId="0" fillId="0" borderId="0" xfId="0" applyFont="1"/>
    <xf numFmtId="0" fontId="11" fillId="0" borderId="0" xfId="0" applyFont="1" applyAlignment="1">
      <alignment horizontal="justify" vertical="center"/>
    </xf>
    <xf numFmtId="0" fontId="10" fillId="0" borderId="17" xfId="0" applyFont="1" applyBorder="1" applyAlignment="1">
      <alignment horizontal="justify" vertical="center" wrapText="1"/>
    </xf>
    <xf numFmtId="0" fontId="10" fillId="0" borderId="18" xfId="0" applyFont="1" applyBorder="1" applyAlignment="1">
      <alignment horizontal="center" vertical="center" wrapText="1"/>
    </xf>
    <xf numFmtId="0" fontId="11" fillId="0" borderId="19"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0" xfId="0" applyFont="1" applyAlignment="1">
      <alignment horizontal="center" vertical="center"/>
    </xf>
    <xf numFmtId="0" fontId="11" fillId="0" borderId="20" xfId="0" applyFont="1" applyBorder="1" applyAlignment="1">
      <alignment horizontal="justify" vertical="center" wrapText="1"/>
    </xf>
    <xf numFmtId="0" fontId="10" fillId="0" borderId="19" xfId="0" applyFont="1" applyBorder="1" applyAlignment="1">
      <alignment horizontal="justify" vertical="center" wrapText="1"/>
    </xf>
    <xf numFmtId="0" fontId="12" fillId="0" borderId="0" xfId="0" applyFont="1" applyAlignment="1">
      <alignment horizontal="justify" vertical="center"/>
    </xf>
    <xf numFmtId="0" fontId="11" fillId="0" borderId="21" xfId="0" applyFont="1" applyBorder="1" applyAlignment="1">
      <alignment horizontal="justify" vertical="center" wrapText="1"/>
    </xf>
    <xf numFmtId="0" fontId="12" fillId="0" borderId="20" xfId="0" applyFont="1" applyBorder="1" applyAlignment="1">
      <alignment horizontal="center" vertical="center" wrapText="1"/>
    </xf>
    <xf numFmtId="0" fontId="12" fillId="0" borderId="20" xfId="0" applyFont="1" applyBorder="1" applyAlignment="1">
      <alignment horizontal="justify" vertical="center" wrapText="1"/>
    </xf>
    <xf numFmtId="0" fontId="10" fillId="0" borderId="1" xfId="0" applyFont="1" applyBorder="1" applyAlignment="1">
      <alignment horizontal="justify"/>
    </xf>
    <xf numFmtId="0" fontId="11" fillId="0" borderId="1" xfId="0" applyFont="1" applyBorder="1"/>
    <xf numFmtId="0" fontId="10" fillId="0" borderId="1" xfId="0" applyFont="1" applyBorder="1"/>
    <xf numFmtId="0" fontId="10" fillId="0" borderId="21" xfId="0" applyFont="1" applyBorder="1" applyAlignment="1">
      <alignment horizontal="justify" vertical="center" wrapText="1"/>
    </xf>
    <xf numFmtId="0" fontId="0" fillId="0" borderId="30" xfId="0" applyBorder="1"/>
    <xf numFmtId="0" fontId="11" fillId="0" borderId="33" xfId="0" applyFont="1" applyBorder="1" applyAlignment="1">
      <alignment horizontal="justify" vertical="center" wrapText="1"/>
    </xf>
    <xf numFmtId="0" fontId="11" fillId="0" borderId="37" xfId="0" applyFont="1" applyBorder="1" applyAlignment="1">
      <alignment horizontal="justify" vertical="center" wrapText="1"/>
    </xf>
    <xf numFmtId="0" fontId="11" fillId="0" borderId="31" xfId="0" applyFont="1" applyBorder="1" applyAlignment="1">
      <alignment horizontal="justify" vertical="center" wrapText="1"/>
    </xf>
    <xf numFmtId="0" fontId="11" fillId="0" borderId="38" xfId="0" applyFont="1" applyBorder="1" applyAlignment="1">
      <alignment horizontal="justify" vertical="center" wrapText="1"/>
    </xf>
    <xf numFmtId="0" fontId="11" fillId="0" borderId="0" xfId="0" applyFont="1"/>
    <xf numFmtId="0" fontId="10" fillId="0" borderId="1" xfId="0" applyFont="1" applyBorder="1" applyAlignment="1">
      <alignment horizontal="justify" vertical="center"/>
    </xf>
    <xf numFmtId="0" fontId="10" fillId="0" borderId="1" xfId="0" applyFont="1" applyBorder="1" applyAlignment="1">
      <alignment vertical="center"/>
    </xf>
    <xf numFmtId="0" fontId="11" fillId="0" borderId="0" xfId="0" applyFont="1" applyBorder="1"/>
    <xf numFmtId="0" fontId="11" fillId="0" borderId="0" xfId="0" applyFont="1" applyAlignment="1">
      <alignment vertical="center"/>
    </xf>
    <xf numFmtId="0" fontId="0" fillId="0" borderId="0" xfId="0" applyFont="1" applyAlignment="1"/>
    <xf numFmtId="0" fontId="10" fillId="0" borderId="16" xfId="0" applyFont="1" applyBorder="1" applyAlignment="1">
      <alignment horizontal="justify"/>
    </xf>
    <xf numFmtId="0" fontId="10" fillId="0" borderId="0" xfId="0" applyFont="1" applyBorder="1" applyAlignment="1">
      <alignment horizontal="justify"/>
    </xf>
    <xf numFmtId="0" fontId="10" fillId="0" borderId="40" xfId="0" applyFont="1" applyBorder="1" applyAlignment="1">
      <alignment horizontal="justify"/>
    </xf>
    <xf numFmtId="0" fontId="11" fillId="0" borderId="41" xfId="0" applyFont="1" applyBorder="1"/>
    <xf numFmtId="0" fontId="11" fillId="0" borderId="42" xfId="0" applyFont="1" applyBorder="1"/>
    <xf numFmtId="0" fontId="11" fillId="0" borderId="39" xfId="0" applyFont="1" applyBorder="1"/>
    <xf numFmtId="0" fontId="10" fillId="0" borderId="1" xfId="0" applyFont="1" applyBorder="1" applyAlignment="1">
      <alignment horizontal="center" vertical="center"/>
    </xf>
    <xf numFmtId="0" fontId="14" fillId="3" borderId="2" xfId="0" applyFont="1" applyFill="1" applyBorder="1" applyAlignment="1">
      <alignment horizontal="justify" vertical="center" wrapText="1"/>
    </xf>
    <xf numFmtId="0" fontId="16" fillId="5" borderId="1" xfId="0" applyFont="1" applyFill="1" applyBorder="1" applyAlignment="1">
      <alignment vertical="center"/>
    </xf>
    <xf numFmtId="0" fontId="16" fillId="5" borderId="1" xfId="0" applyFont="1" applyFill="1" applyBorder="1" applyAlignment="1">
      <alignment horizontal="center" vertical="center" wrapText="1"/>
    </xf>
    <xf numFmtId="4" fontId="16" fillId="5" borderId="1" xfId="0" applyNumberFormat="1" applyFont="1" applyFill="1" applyBorder="1" applyAlignment="1">
      <alignment horizontal="center" vertical="center" wrapText="1"/>
    </xf>
    <xf numFmtId="0" fontId="17" fillId="8" borderId="1" xfId="0" applyFont="1" applyFill="1" applyBorder="1" applyAlignment="1">
      <alignment horizontal="left" vertical="center" wrapText="1"/>
    </xf>
    <xf numFmtId="4" fontId="17" fillId="8" borderId="1" xfId="0" applyNumberFormat="1" applyFont="1" applyFill="1" applyBorder="1" applyAlignment="1">
      <alignment horizontal="left" vertical="center" wrapText="1"/>
    </xf>
    <xf numFmtId="0" fontId="19" fillId="0" borderId="1" xfId="0" applyFont="1" applyBorder="1" applyAlignment="1">
      <alignment horizontal="left" vertical="center"/>
    </xf>
    <xf numFmtId="4" fontId="19" fillId="9" borderId="1" xfId="0" applyNumberFormat="1" applyFont="1" applyFill="1" applyBorder="1" applyAlignment="1">
      <alignment horizontal="left" vertical="center" wrapText="1"/>
    </xf>
    <xf numFmtId="3" fontId="19" fillId="9" borderId="1" xfId="0" applyNumberFormat="1" applyFont="1" applyFill="1" applyBorder="1" applyAlignment="1">
      <alignment horizontal="right" vertical="center" wrapText="1"/>
    </xf>
    <xf numFmtId="0" fontId="19" fillId="0" borderId="1" xfId="0" applyFont="1" applyFill="1" applyBorder="1" applyAlignment="1">
      <alignment horizontal="left" vertical="center" wrapText="1"/>
    </xf>
    <xf numFmtId="0" fontId="20" fillId="9" borderId="1" xfId="0" applyFont="1" applyFill="1" applyBorder="1" applyAlignment="1">
      <alignment horizontal="left" vertical="center" wrapText="1"/>
    </xf>
    <xf numFmtId="0" fontId="19" fillId="0" borderId="1" xfId="0" applyFont="1" applyBorder="1" applyAlignment="1">
      <alignment horizontal="left" vertical="center" wrapText="1"/>
    </xf>
    <xf numFmtId="3" fontId="18" fillId="0" borderId="1" xfId="0" applyNumberFormat="1" applyFont="1" applyBorder="1" applyAlignment="1">
      <alignment horizontal="right" vertical="center" wrapText="1"/>
    </xf>
    <xf numFmtId="0" fontId="20" fillId="0" borderId="1" xfId="0" applyFont="1" applyBorder="1" applyAlignment="1">
      <alignment horizontal="left" vertical="center" wrapText="1"/>
    </xf>
    <xf numFmtId="0" fontId="17" fillId="7" borderId="1" xfId="0" applyFont="1" applyFill="1" applyBorder="1" applyAlignment="1">
      <alignment horizontal="left" vertical="center" wrapText="1"/>
    </xf>
    <xf numFmtId="0" fontId="22" fillId="7" borderId="1" xfId="0" applyFont="1" applyFill="1" applyBorder="1" applyAlignment="1">
      <alignment horizontal="left"/>
    </xf>
    <xf numFmtId="4" fontId="17" fillId="7" borderId="1" xfId="0" applyNumberFormat="1" applyFont="1" applyFill="1" applyBorder="1" applyAlignment="1">
      <alignment horizontal="left" vertical="center" wrapText="1"/>
    </xf>
    <xf numFmtId="4" fontId="19" fillId="0" borderId="1" xfId="0" applyNumberFormat="1" applyFont="1" applyFill="1" applyBorder="1" applyAlignment="1">
      <alignment horizontal="left" vertical="center" wrapText="1"/>
    </xf>
    <xf numFmtId="3" fontId="19" fillId="0" borderId="1" xfId="0" applyNumberFormat="1" applyFont="1" applyFill="1" applyBorder="1" applyAlignment="1">
      <alignment horizontal="right" vertical="center" wrapText="1"/>
    </xf>
    <xf numFmtId="0" fontId="20" fillId="0" borderId="1" xfId="0" applyFont="1" applyFill="1" applyBorder="1" applyAlignment="1">
      <alignment horizontal="left" vertical="center" wrapText="1"/>
    </xf>
    <xf numFmtId="4" fontId="19" fillId="0" borderId="1" xfId="0" applyNumberFormat="1" applyFont="1" applyBorder="1" applyAlignment="1">
      <alignment horizontal="left" vertical="center" wrapText="1"/>
    </xf>
    <xf numFmtId="3" fontId="18" fillId="0" borderId="0" xfId="0" applyNumberFormat="1" applyFont="1" applyAlignment="1">
      <alignment horizontal="right" vertical="center" wrapText="1"/>
    </xf>
    <xf numFmtId="0" fontId="20" fillId="0" borderId="0" xfId="0" applyFont="1" applyAlignment="1">
      <alignment wrapText="1"/>
    </xf>
    <xf numFmtId="0" fontId="17" fillId="10" borderId="1" xfId="0" applyFont="1" applyFill="1" applyBorder="1" applyAlignment="1">
      <alignment horizontal="left" vertical="center"/>
    </xf>
    <xf numFmtId="4" fontId="17" fillId="10" borderId="1" xfId="0" applyNumberFormat="1" applyFont="1" applyFill="1" applyBorder="1" applyAlignment="1">
      <alignment horizontal="left"/>
    </xf>
    <xf numFmtId="4" fontId="17" fillId="10" borderId="1" xfId="0" applyNumberFormat="1" applyFont="1" applyFill="1" applyBorder="1" applyAlignment="1">
      <alignment horizontal="left" vertical="center" wrapText="1"/>
    </xf>
    <xf numFmtId="0" fontId="17" fillId="11" borderId="1" xfId="0" applyFont="1" applyFill="1" applyBorder="1" applyAlignment="1">
      <alignment horizontal="left" vertical="center" wrapText="1"/>
    </xf>
    <xf numFmtId="4" fontId="19" fillId="11" borderId="1" xfId="0" applyNumberFormat="1" applyFont="1" applyFill="1" applyBorder="1" applyAlignment="1">
      <alignment horizontal="left"/>
    </xf>
    <xf numFmtId="4" fontId="19" fillId="11" borderId="1" xfId="0" applyNumberFormat="1" applyFont="1" applyFill="1" applyBorder="1" applyAlignment="1">
      <alignment horizontal="left" vertical="center" wrapText="1"/>
    </xf>
    <xf numFmtId="0" fontId="18" fillId="0" borderId="1" xfId="0" applyFont="1" applyBorder="1" applyAlignment="1">
      <alignment horizontal="left" vertical="center" wrapText="1"/>
    </xf>
    <xf numFmtId="0" fontId="20" fillId="0" borderId="1" xfId="0" applyFont="1" applyBorder="1" applyAlignment="1">
      <alignment horizontal="left" wrapText="1"/>
    </xf>
    <xf numFmtId="43" fontId="25" fillId="0" borderId="0" xfId="1" applyFont="1" applyFill="1" applyBorder="1" applyAlignment="1"/>
    <xf numFmtId="43" fontId="0" fillId="0" borderId="0" xfId="1" applyFont="1"/>
    <xf numFmtId="15" fontId="0" fillId="0" borderId="0" xfId="0" applyNumberFormat="1"/>
    <xf numFmtId="43" fontId="0" fillId="0" borderId="0" xfId="1" applyFont="1" applyBorder="1"/>
    <xf numFmtId="17" fontId="0" fillId="0" borderId="0" xfId="0" applyNumberFormat="1" applyBorder="1"/>
    <xf numFmtId="0" fontId="28" fillId="6" borderId="33" xfId="0" applyFont="1" applyFill="1" applyBorder="1"/>
    <xf numFmtId="38" fontId="29" fillId="6" borderId="48" xfId="0" applyNumberFormat="1" applyFont="1" applyFill="1" applyBorder="1"/>
    <xf numFmtId="38" fontId="29" fillId="6" borderId="45" xfId="0" applyNumberFormat="1" applyFont="1" applyFill="1" applyBorder="1"/>
    <xf numFmtId="38" fontId="29" fillId="6" borderId="35" xfId="0" applyNumberFormat="1" applyFont="1" applyFill="1" applyBorder="1"/>
    <xf numFmtId="43" fontId="0" fillId="0" borderId="0" xfId="1" applyFont="1" applyFill="1" applyBorder="1"/>
    <xf numFmtId="0" fontId="27" fillId="0" borderId="37" xfId="0" applyFont="1" applyBorder="1" applyAlignment="1">
      <alignment horizontal="left" indent="1"/>
    </xf>
    <xf numFmtId="38" fontId="29" fillId="0" borderId="11" xfId="0" applyNumberFormat="1" applyFont="1" applyBorder="1"/>
    <xf numFmtId="38" fontId="29" fillId="0" borderId="1" xfId="0" applyNumberFormat="1" applyFont="1" applyBorder="1"/>
    <xf numFmtId="38" fontId="29" fillId="0" borderId="32" xfId="0" applyNumberFormat="1" applyFont="1" applyBorder="1"/>
    <xf numFmtId="167" fontId="0" fillId="0" borderId="0" xfId="0" applyNumberFormat="1"/>
    <xf numFmtId="0" fontId="27" fillId="0" borderId="37" xfId="0" applyFont="1" applyBorder="1" applyAlignment="1">
      <alignment wrapText="1"/>
    </xf>
    <xf numFmtId="0" fontId="27" fillId="0" borderId="49" xfId="0" applyFont="1" applyBorder="1"/>
    <xf numFmtId="38" fontId="29" fillId="0" borderId="42" xfId="0" applyNumberFormat="1" applyFont="1" applyBorder="1"/>
    <xf numFmtId="38" fontId="29" fillId="0" borderId="39" xfId="0" applyNumberFormat="1" applyFont="1" applyBorder="1"/>
    <xf numFmtId="38" fontId="29" fillId="0" borderId="50" xfId="0" applyNumberFormat="1" applyFont="1" applyBorder="1"/>
    <xf numFmtId="0" fontId="28" fillId="6" borderId="25" xfId="0" applyFont="1" applyFill="1" applyBorder="1"/>
    <xf numFmtId="38" fontId="28" fillId="6" borderId="51" xfId="0" applyNumberFormat="1" applyFont="1" applyFill="1" applyBorder="1"/>
    <xf numFmtId="38" fontId="28" fillId="6" borderId="21" xfId="0" applyNumberFormat="1" applyFont="1" applyFill="1" applyBorder="1"/>
    <xf numFmtId="43" fontId="1" fillId="0" borderId="0" xfId="1" applyFont="1" applyFill="1" applyBorder="1"/>
    <xf numFmtId="0" fontId="26" fillId="0" borderId="52" xfId="0" applyFont="1" applyBorder="1" applyAlignment="1">
      <alignment horizontal="left" wrapText="1" indent="1"/>
    </xf>
    <xf numFmtId="38" fontId="29" fillId="0" borderId="34" xfId="0" applyNumberFormat="1" applyFont="1" applyBorder="1"/>
    <xf numFmtId="38" fontId="29" fillId="0" borderId="45" xfId="0" applyNumberFormat="1" applyFont="1" applyBorder="1"/>
    <xf numFmtId="38" fontId="29" fillId="0" borderId="35" xfId="0" applyNumberFormat="1" applyFont="1" applyBorder="1"/>
    <xf numFmtId="0" fontId="30" fillId="0" borderId="53" xfId="0" applyFont="1" applyBorder="1" applyAlignment="1">
      <alignment wrapText="1"/>
    </xf>
    <xf numFmtId="38" fontId="29" fillId="0" borderId="36" xfId="0" applyNumberFormat="1" applyFont="1" applyBorder="1"/>
    <xf numFmtId="0" fontId="27" fillId="0" borderId="53" xfId="0" applyFont="1" applyBorder="1" applyAlignment="1">
      <alignment wrapText="1"/>
    </xf>
    <xf numFmtId="0" fontId="27" fillId="0" borderId="53" xfId="0" applyFont="1" applyFill="1" applyBorder="1" applyAlignment="1">
      <alignment wrapText="1"/>
    </xf>
    <xf numFmtId="43" fontId="27" fillId="0" borderId="53" xfId="1" applyFont="1" applyFill="1" applyBorder="1" applyAlignment="1">
      <alignment wrapText="1"/>
    </xf>
    <xf numFmtId="0" fontId="27" fillId="0" borderId="53" xfId="0" applyFont="1" applyBorder="1"/>
    <xf numFmtId="38" fontId="29" fillId="0" borderId="54" xfId="0" applyNumberFormat="1" applyFont="1" applyBorder="1"/>
    <xf numFmtId="0" fontId="26" fillId="0" borderId="33" xfId="0" applyFont="1" applyBorder="1" applyAlignment="1">
      <alignment horizontal="left" wrapText="1" indent="1"/>
    </xf>
    <xf numFmtId="38" fontId="29" fillId="0" borderId="44" xfId="0" applyNumberFormat="1" applyFont="1" applyBorder="1"/>
    <xf numFmtId="38" fontId="29" fillId="0" borderId="31" xfId="0" applyNumberFormat="1" applyFont="1" applyBorder="1"/>
    <xf numFmtId="0" fontId="27" fillId="0" borderId="37" xfId="0" applyFont="1" applyBorder="1"/>
    <xf numFmtId="38" fontId="29" fillId="0" borderId="38" xfId="0" applyNumberFormat="1" applyFont="1" applyBorder="1"/>
    <xf numFmtId="0" fontId="28" fillId="6" borderId="17" xfId="0" applyFont="1" applyFill="1" applyBorder="1"/>
    <xf numFmtId="38" fontId="28" fillId="6" borderId="55" xfId="0" applyNumberFormat="1" applyFont="1" applyFill="1" applyBorder="1"/>
    <xf numFmtId="38" fontId="28" fillId="6" borderId="18" xfId="0" applyNumberFormat="1" applyFont="1" applyFill="1" applyBorder="1"/>
    <xf numFmtId="0" fontId="27" fillId="0" borderId="56" xfId="0" applyFont="1" applyBorder="1" applyAlignment="1">
      <alignment horizontal="left" wrapText="1"/>
    </xf>
    <xf numFmtId="0" fontId="27" fillId="0" borderId="37" xfId="0" applyFont="1" applyBorder="1" applyAlignment="1">
      <alignment horizontal="left" wrapText="1"/>
    </xf>
    <xf numFmtId="0" fontId="28" fillId="13" borderId="17" xfId="0" applyFont="1" applyFill="1" applyBorder="1"/>
    <xf numFmtId="38" fontId="28" fillId="13" borderId="55" xfId="0" applyNumberFormat="1" applyFont="1" applyFill="1" applyBorder="1"/>
    <xf numFmtId="38" fontId="28" fillId="13" borderId="18" xfId="0" applyNumberFormat="1" applyFont="1" applyFill="1" applyBorder="1"/>
    <xf numFmtId="0" fontId="28" fillId="13" borderId="57" xfId="0" applyFont="1" applyFill="1" applyBorder="1"/>
    <xf numFmtId="38" fontId="28" fillId="13" borderId="58" xfId="0" applyNumberFormat="1" applyFont="1" applyFill="1" applyBorder="1"/>
    <xf numFmtId="0" fontId="28" fillId="13" borderId="21" xfId="0" applyFont="1" applyFill="1" applyBorder="1"/>
    <xf numFmtId="38" fontId="28" fillId="13" borderId="59" xfId="0" applyNumberFormat="1" applyFont="1" applyFill="1" applyBorder="1"/>
    <xf numFmtId="38" fontId="28" fillId="13" borderId="22" xfId="0" applyNumberFormat="1" applyFont="1" applyFill="1" applyBorder="1"/>
    <xf numFmtId="38" fontId="29" fillId="0" borderId="60" xfId="0" applyNumberFormat="1" applyFont="1" applyBorder="1"/>
    <xf numFmtId="38" fontId="29" fillId="0" borderId="53" xfId="0" applyNumberFormat="1" applyFont="1" applyBorder="1"/>
    <xf numFmtId="38" fontId="29" fillId="0" borderId="3" xfId="0" applyNumberFormat="1" applyFont="1" applyBorder="1"/>
    <xf numFmtId="0" fontId="27" fillId="13" borderId="17" xfId="0" applyFont="1" applyFill="1" applyBorder="1"/>
    <xf numFmtId="9" fontId="27" fillId="13" borderId="28" xfId="0" applyNumberFormat="1" applyFont="1" applyFill="1" applyBorder="1" applyAlignment="1">
      <alignment horizontal="right"/>
    </xf>
    <xf numFmtId="0" fontId="31" fillId="13" borderId="23" xfId="0" applyFont="1" applyFill="1" applyBorder="1"/>
    <xf numFmtId="0" fontId="31" fillId="13" borderId="26" xfId="0" applyFont="1" applyFill="1" applyBorder="1"/>
    <xf numFmtId="38" fontId="31" fillId="13" borderId="22" xfId="0" applyNumberFormat="1" applyFont="1" applyFill="1" applyBorder="1"/>
    <xf numFmtId="43" fontId="31" fillId="0" borderId="0" xfId="1" applyFont="1" applyFill="1" applyBorder="1"/>
    <xf numFmtId="168" fontId="28" fillId="13" borderId="27" xfId="1" applyNumberFormat="1" applyFont="1" applyFill="1" applyBorder="1" applyAlignment="1">
      <alignment horizontal="right"/>
    </xf>
    <xf numFmtId="0" fontId="31" fillId="13" borderId="29" xfId="0" applyFont="1" applyFill="1" applyBorder="1"/>
    <xf numFmtId="0" fontId="31" fillId="13" borderId="0" xfId="0" applyFont="1" applyFill="1" applyBorder="1"/>
    <xf numFmtId="0" fontId="31" fillId="13" borderId="30" xfId="0" applyFont="1" applyFill="1" applyBorder="1"/>
    <xf numFmtId="0" fontId="28" fillId="13" borderId="19" xfId="0" applyFont="1" applyFill="1" applyBorder="1"/>
    <xf numFmtId="10" fontId="28" fillId="13" borderId="27" xfId="0" applyNumberFormat="1" applyFont="1" applyFill="1" applyBorder="1" applyAlignment="1">
      <alignment horizontal="right"/>
    </xf>
    <xf numFmtId="0" fontId="0" fillId="13" borderId="29" xfId="0" applyFill="1" applyBorder="1"/>
    <xf numFmtId="0" fontId="0" fillId="13" borderId="0" xfId="0" applyFill="1" applyBorder="1"/>
    <xf numFmtId="0" fontId="0" fillId="13" borderId="30" xfId="0" applyFill="1" applyBorder="1"/>
    <xf numFmtId="165" fontId="28" fillId="13" borderId="27" xfId="0" applyNumberFormat="1" applyFont="1" applyFill="1" applyBorder="1" applyAlignment="1">
      <alignment horizontal="right"/>
    </xf>
    <xf numFmtId="0" fontId="0" fillId="13" borderId="24" xfId="0" applyFill="1" applyBorder="1"/>
    <xf numFmtId="0" fontId="0" fillId="13" borderId="27" xfId="0" applyFill="1" applyBorder="1"/>
    <xf numFmtId="0" fontId="0" fillId="13" borderId="20" xfId="0" applyFill="1" applyBorder="1"/>
    <xf numFmtId="38" fontId="0" fillId="0" borderId="0" xfId="0" applyNumberFormat="1"/>
    <xf numFmtId="0" fontId="28" fillId="0" borderId="52" xfId="0" applyFont="1" applyBorder="1"/>
    <xf numFmtId="0" fontId="27" fillId="0" borderId="53" xfId="0" applyFont="1" applyBorder="1" applyAlignment="1">
      <alignment horizontal="left" indent="1"/>
    </xf>
    <xf numFmtId="0" fontId="27" fillId="0" borderId="61" xfId="0" applyFont="1" applyBorder="1"/>
    <xf numFmtId="38" fontId="28" fillId="6" borderId="62" xfId="0" applyNumberFormat="1" applyFont="1" applyFill="1" applyBorder="1"/>
    <xf numFmtId="38" fontId="28" fillId="6" borderId="17" xfId="0" applyNumberFormat="1" applyFont="1" applyFill="1" applyBorder="1"/>
    <xf numFmtId="38" fontId="29" fillId="0" borderId="48" xfId="0" applyNumberFormat="1" applyFont="1" applyBorder="1"/>
    <xf numFmtId="38" fontId="29" fillId="0" borderId="63" xfId="0" applyNumberFormat="1" applyFont="1" applyBorder="1"/>
    <xf numFmtId="38" fontId="29" fillId="0" borderId="64" xfId="0" applyNumberFormat="1" applyFont="1" applyBorder="1"/>
    <xf numFmtId="38" fontId="28" fillId="13" borderId="65" xfId="0" applyNumberFormat="1" applyFont="1" applyFill="1" applyBorder="1"/>
    <xf numFmtId="0" fontId="28" fillId="0" borderId="33" xfId="0" applyFont="1" applyBorder="1"/>
    <xf numFmtId="0" fontId="33" fillId="0" borderId="0" xfId="0" applyFont="1" applyAlignment="1" applyProtection="1">
      <alignment horizontal="centerContinuous"/>
    </xf>
    <xf numFmtId="0" fontId="34" fillId="0" borderId="0" xfId="0" applyFont="1" applyAlignment="1">
      <alignment horizontal="centerContinuous"/>
    </xf>
    <xf numFmtId="0" fontId="33" fillId="0" borderId="0" xfId="0" applyFont="1" applyAlignment="1">
      <alignment horizontal="centerContinuous"/>
    </xf>
    <xf numFmtId="0" fontId="35" fillId="14" borderId="66" xfId="0" applyFont="1" applyFill="1" applyBorder="1"/>
    <xf numFmtId="0" fontId="35" fillId="14" borderId="67" xfId="0" applyFont="1" applyFill="1" applyBorder="1"/>
    <xf numFmtId="0" fontId="36" fillId="14" borderId="68" xfId="0" applyFont="1" applyFill="1" applyBorder="1" applyAlignment="1" applyProtection="1">
      <alignment horizontal="center"/>
    </xf>
    <xf numFmtId="0" fontId="36" fillId="14" borderId="69" xfId="0" applyFont="1" applyFill="1" applyBorder="1" applyAlignment="1" applyProtection="1">
      <alignment horizontal="center"/>
    </xf>
    <xf numFmtId="0" fontId="36" fillId="14" borderId="69" xfId="0" applyFont="1" applyFill="1" applyBorder="1" applyAlignment="1">
      <alignment horizontal="centerContinuous"/>
    </xf>
    <xf numFmtId="0" fontId="36" fillId="14" borderId="70" xfId="0" applyFont="1" applyFill="1" applyBorder="1" applyAlignment="1" applyProtection="1">
      <alignment horizontal="center"/>
    </xf>
    <xf numFmtId="0" fontId="36" fillId="14" borderId="67" xfId="0" applyFont="1" applyFill="1" applyBorder="1" applyAlignment="1" applyProtection="1">
      <alignment horizontal="center"/>
    </xf>
    <xf numFmtId="0" fontId="36" fillId="14" borderId="73" xfId="0" applyFont="1" applyFill="1" applyBorder="1" applyAlignment="1" applyProtection="1">
      <alignment horizontal="center"/>
    </xf>
    <xf numFmtId="0" fontId="36" fillId="14" borderId="74" xfId="0" applyFont="1" applyFill="1" applyBorder="1" applyAlignment="1" applyProtection="1">
      <alignment horizontal="center"/>
    </xf>
    <xf numFmtId="0" fontId="36" fillId="14" borderId="74" xfId="0" applyFont="1" applyFill="1" applyBorder="1" applyAlignment="1">
      <alignment horizontal="centerContinuous"/>
    </xf>
    <xf numFmtId="0" fontId="36" fillId="14" borderId="75" xfId="0" applyFont="1" applyFill="1" applyBorder="1" applyAlignment="1" applyProtection="1">
      <alignment horizontal="center"/>
    </xf>
    <xf numFmtId="0" fontId="36" fillId="14" borderId="76" xfId="0" applyFont="1" applyFill="1" applyBorder="1" applyAlignment="1" applyProtection="1">
      <alignment horizontal="center"/>
    </xf>
    <xf numFmtId="0" fontId="36" fillId="14" borderId="72" xfId="0" applyFont="1" applyFill="1" applyBorder="1" applyAlignment="1" applyProtection="1">
      <alignment horizontal="center"/>
    </xf>
    <xf numFmtId="0" fontId="35" fillId="14" borderId="77" xfId="0" applyFont="1" applyFill="1" applyBorder="1"/>
    <xf numFmtId="0" fontId="35" fillId="14" borderId="78" xfId="0" applyFont="1" applyFill="1" applyBorder="1"/>
    <xf numFmtId="0" fontId="36" fillId="14" borderId="79" xfId="0" quotePrefix="1" applyFont="1" applyFill="1" applyBorder="1" applyAlignment="1" applyProtection="1">
      <alignment horizontal="center"/>
    </xf>
    <xf numFmtId="0" fontId="36" fillId="14" borderId="80" xfId="0" quotePrefix="1" applyFont="1" applyFill="1" applyBorder="1" applyAlignment="1" applyProtection="1">
      <alignment horizontal="center"/>
    </xf>
    <xf numFmtId="0" fontId="36" fillId="14" borderId="80" xfId="0" quotePrefix="1" applyFont="1" applyFill="1" applyBorder="1" applyAlignment="1">
      <alignment horizontal="centerContinuous"/>
    </xf>
    <xf numFmtId="0" fontId="36" fillId="14" borderId="81" xfId="0" quotePrefix="1" applyFont="1" applyFill="1" applyBorder="1" applyAlignment="1" applyProtection="1">
      <alignment horizontal="center"/>
    </xf>
    <xf numFmtId="0" fontId="37" fillId="14" borderId="82" xfId="0" quotePrefix="1" applyFont="1" applyFill="1" applyBorder="1" applyAlignment="1" applyProtection="1">
      <alignment horizontal="center"/>
    </xf>
    <xf numFmtId="0" fontId="36" fillId="14" borderId="78" xfId="0" quotePrefix="1" applyFont="1" applyFill="1" applyBorder="1" applyAlignment="1" applyProtection="1">
      <alignment horizontal="center"/>
    </xf>
    <xf numFmtId="0" fontId="39" fillId="0" borderId="68" xfId="0" applyFont="1" applyBorder="1"/>
    <xf numFmtId="0" fontId="39" fillId="0" borderId="69" xfId="0" applyFont="1" applyBorder="1"/>
    <xf numFmtId="0" fontId="39" fillId="0" borderId="70" xfId="0" applyFont="1" applyBorder="1"/>
    <xf numFmtId="0" fontId="39" fillId="0" borderId="85" xfId="0" applyFont="1" applyBorder="1"/>
    <xf numFmtId="0" fontId="39" fillId="0" borderId="67" xfId="0" applyFont="1" applyBorder="1"/>
    <xf numFmtId="0" fontId="39" fillId="0" borderId="86" xfId="0" applyFont="1" applyBorder="1"/>
    <xf numFmtId="169" fontId="40" fillId="0" borderId="87" xfId="0" applyNumberFormat="1" applyFont="1" applyBorder="1" applyAlignment="1" applyProtection="1">
      <alignment horizontal="left"/>
    </xf>
    <xf numFmtId="3" fontId="39" fillId="0" borderId="88" xfId="0" applyNumberFormat="1" applyFont="1" applyBorder="1" applyProtection="1"/>
    <xf numFmtId="1" fontId="39" fillId="0" borderId="88" xfId="0" applyNumberFormat="1" applyFont="1" applyBorder="1" applyAlignment="1" applyProtection="1">
      <alignment horizontal="right"/>
    </xf>
    <xf numFmtId="3" fontId="39" fillId="0" borderId="89" xfId="0" applyNumberFormat="1" applyFont="1" applyBorder="1" applyProtection="1"/>
    <xf numFmtId="3" fontId="39" fillId="0" borderId="87" xfId="0" applyNumberFormat="1" applyFont="1" applyBorder="1" applyProtection="1"/>
    <xf numFmtId="3" fontId="39" fillId="0" borderId="90" xfId="0" applyNumberFormat="1" applyFont="1" applyBorder="1" applyProtection="1"/>
    <xf numFmtId="3" fontId="35" fillId="0" borderId="87" xfId="0" applyNumberFormat="1" applyFont="1" applyBorder="1" applyProtection="1"/>
    <xf numFmtId="1" fontId="39" fillId="0" borderId="88" xfId="0" applyNumberFormat="1" applyFont="1" applyBorder="1" applyProtection="1"/>
    <xf numFmtId="1" fontId="39" fillId="0" borderId="93" xfId="0" applyNumberFormat="1" applyFont="1" applyBorder="1" applyAlignment="1" applyProtection="1">
      <alignment horizontal="center"/>
    </xf>
    <xf numFmtId="0" fontId="39" fillId="0" borderId="94" xfId="0" applyFont="1" applyBorder="1"/>
    <xf numFmtId="0" fontId="39" fillId="0" borderId="95" xfId="0" applyFont="1" applyBorder="1" applyAlignment="1" applyProtection="1">
      <alignment horizontal="left"/>
    </xf>
    <xf numFmtId="1" fontId="39" fillId="0" borderId="96" xfId="0" applyNumberFormat="1" applyFont="1" applyBorder="1" applyAlignment="1" applyProtection="1">
      <alignment horizontal="center"/>
    </xf>
    <xf numFmtId="3" fontId="42" fillId="0" borderId="97" xfId="0" applyNumberFormat="1" applyFont="1" applyBorder="1" applyAlignment="1">
      <alignment horizontal="right"/>
    </xf>
    <xf numFmtId="3" fontId="39" fillId="0" borderId="97" xfId="0" applyNumberFormat="1" applyFont="1" applyBorder="1" applyProtection="1"/>
    <xf numFmtId="1" fontId="39" fillId="0" borderId="98" xfId="0" applyNumberFormat="1" applyFont="1" applyBorder="1"/>
    <xf numFmtId="3" fontId="39" fillId="0" borderId="98" xfId="0" applyNumberFormat="1" applyFont="1" applyBorder="1"/>
    <xf numFmtId="3" fontId="39" fillId="0" borderId="99" xfId="0" applyNumberFormat="1" applyFont="1" applyBorder="1"/>
    <xf numFmtId="3" fontId="39" fillId="0" borderId="100" xfId="0" applyNumberFormat="1" applyFont="1" applyBorder="1"/>
    <xf numFmtId="170" fontId="0" fillId="0" borderId="0" xfId="0" applyNumberFormat="1" applyProtection="1"/>
    <xf numFmtId="0" fontId="39" fillId="0" borderId="101" xfId="0" applyFont="1" applyBorder="1"/>
    <xf numFmtId="0" fontId="39" fillId="0" borderId="102" xfId="0" applyFont="1" applyBorder="1" applyAlignment="1" applyProtection="1">
      <alignment horizontal="center"/>
    </xf>
    <xf numFmtId="0" fontId="39" fillId="0" borderId="103" xfId="0" applyFont="1" applyBorder="1"/>
    <xf numFmtId="0" fontId="41" fillId="0" borderId="87" xfId="0" applyFont="1" applyBorder="1" applyAlignment="1" applyProtection="1">
      <alignment horizontal="left"/>
    </xf>
    <xf numFmtId="3" fontId="42" fillId="0" borderId="88" xfId="0" applyNumberFormat="1" applyFont="1" applyBorder="1" applyAlignment="1">
      <alignment horizontal="right"/>
    </xf>
    <xf numFmtId="3" fontId="39" fillId="0" borderId="88" xfId="0" applyNumberFormat="1" applyFont="1" applyBorder="1"/>
    <xf numFmtId="1" fontId="39" fillId="0" borderId="89" xfId="0" applyNumberFormat="1" applyFont="1" applyBorder="1"/>
    <xf numFmtId="3" fontId="39" fillId="0" borderId="89" xfId="0" applyNumberFormat="1" applyFont="1" applyBorder="1"/>
    <xf numFmtId="3" fontId="39" fillId="0" borderId="90" xfId="0" applyNumberFormat="1" applyFont="1" applyBorder="1"/>
    <xf numFmtId="3" fontId="35" fillId="0" borderId="87" xfId="0" applyNumberFormat="1" applyFont="1" applyBorder="1"/>
    <xf numFmtId="3" fontId="17" fillId="0" borderId="104" xfId="0" applyNumberFormat="1" applyFont="1" applyFill="1" applyBorder="1" applyAlignment="1">
      <alignment horizontal="right" vertical="center" wrapText="1"/>
    </xf>
    <xf numFmtId="3" fontId="17" fillId="9" borderId="104" xfId="0" applyNumberFormat="1" applyFont="1" applyFill="1" applyBorder="1" applyAlignment="1">
      <alignment horizontal="right" vertical="center" wrapText="1"/>
    </xf>
    <xf numFmtId="3" fontId="22" fillId="0" borderId="104" xfId="0" applyNumberFormat="1" applyFont="1" applyBorder="1" applyAlignment="1">
      <alignment horizontal="right"/>
    </xf>
    <xf numFmtId="3" fontId="18" fillId="0" borderId="1" xfId="0" applyNumberFormat="1" applyFont="1" applyBorder="1" applyAlignment="1">
      <alignment horizontal="right"/>
    </xf>
    <xf numFmtId="3" fontId="18" fillId="0" borderId="1" xfId="0" applyNumberFormat="1" applyFont="1" applyFill="1" applyBorder="1" applyAlignment="1">
      <alignment horizontal="right"/>
    </xf>
    <xf numFmtId="4" fontId="44" fillId="16" borderId="1" xfId="0" applyNumberFormat="1" applyFont="1" applyFill="1" applyBorder="1" applyAlignment="1">
      <alignment horizontal="center" vertical="center" wrapText="1"/>
    </xf>
    <xf numFmtId="0" fontId="44" fillId="16" borderId="1" xfId="0" applyFont="1" applyFill="1" applyBorder="1" applyAlignment="1">
      <alignment vertical="center" wrapText="1"/>
    </xf>
    <xf numFmtId="0" fontId="16" fillId="16" borderId="104" xfId="0" applyFont="1" applyFill="1" applyBorder="1" applyAlignment="1">
      <alignment horizontal="center" vertical="center" wrapText="1"/>
    </xf>
    <xf numFmtId="3" fontId="16" fillId="16" borderId="1" xfId="0" applyNumberFormat="1" applyFont="1" applyFill="1" applyBorder="1" applyAlignment="1">
      <alignment horizontal="justify" vertical="center"/>
    </xf>
    <xf numFmtId="0" fontId="0" fillId="15" borderId="0" xfId="0" applyFill="1" applyBorder="1" applyAlignment="1">
      <alignment vertical="top"/>
    </xf>
    <xf numFmtId="0" fontId="0" fillId="15" borderId="0" xfId="0" applyFill="1"/>
    <xf numFmtId="3" fontId="19" fillId="15" borderId="1" xfId="0" applyNumberFormat="1" applyFont="1" applyFill="1" applyBorder="1" applyAlignment="1">
      <alignment horizontal="right" vertical="center" wrapText="1"/>
    </xf>
    <xf numFmtId="3" fontId="18" fillId="15" borderId="1" xfId="0" applyNumberFormat="1" applyFont="1" applyFill="1" applyBorder="1" applyAlignment="1">
      <alignment horizontal="right"/>
    </xf>
    <xf numFmtId="3" fontId="21" fillId="15" borderId="1" xfId="0" applyNumberFormat="1" applyFont="1" applyFill="1" applyBorder="1" applyAlignment="1">
      <alignment horizontal="right" vertical="center" wrapText="1"/>
    </xf>
    <xf numFmtId="0" fontId="0" fillId="0" borderId="0" xfId="0" applyBorder="1" applyAlignment="1"/>
    <xf numFmtId="3" fontId="0" fillId="0" borderId="106" xfId="0" applyNumberFormat="1" applyBorder="1"/>
    <xf numFmtId="0" fontId="0" fillId="0" borderId="109" xfId="0" applyFill="1" applyBorder="1" applyAlignment="1"/>
    <xf numFmtId="0" fontId="0" fillId="0" borderId="8" xfId="0" applyBorder="1"/>
    <xf numFmtId="4" fontId="1" fillId="0" borderId="8" xfId="0" applyNumberFormat="1" applyFont="1" applyBorder="1"/>
    <xf numFmtId="0" fontId="0" fillId="0" borderId="110" xfId="0" applyBorder="1"/>
    <xf numFmtId="0" fontId="0" fillId="0" borderId="104" xfId="0" applyBorder="1"/>
    <xf numFmtId="3" fontId="0" fillId="0" borderId="104" xfId="0" applyNumberFormat="1" applyBorder="1"/>
    <xf numFmtId="0" fontId="0" fillId="0" borderId="12" xfId="0" applyBorder="1"/>
    <xf numFmtId="38" fontId="1" fillId="0" borderId="0" xfId="0" applyNumberFormat="1" applyFont="1" applyBorder="1" applyAlignment="1"/>
    <xf numFmtId="0" fontId="0" fillId="0" borderId="10" xfId="0" applyBorder="1" applyAlignment="1"/>
    <xf numFmtId="0" fontId="0" fillId="0" borderId="12" xfId="0" applyFill="1" applyBorder="1" applyAlignment="1"/>
    <xf numFmtId="38" fontId="1" fillId="0" borderId="0" xfId="0" applyNumberFormat="1" applyFont="1" applyBorder="1" applyAlignment="1">
      <alignment horizontal="right"/>
    </xf>
    <xf numFmtId="3" fontId="1" fillId="0" borderId="0" xfId="0" applyNumberFormat="1" applyFont="1" applyBorder="1" applyAlignment="1"/>
    <xf numFmtId="2" fontId="0" fillId="0" borderId="0" xfId="0" applyNumberFormat="1" applyBorder="1" applyAlignment="1"/>
    <xf numFmtId="2" fontId="1" fillId="0" borderId="0" xfId="0" applyNumberFormat="1" applyFont="1" applyBorder="1" applyAlignment="1"/>
    <xf numFmtId="38" fontId="1" fillId="0" borderId="0" xfId="0" applyNumberFormat="1" applyFont="1" applyBorder="1"/>
    <xf numFmtId="3" fontId="1" fillId="0" borderId="0" xfId="0" applyNumberFormat="1" applyFont="1" applyBorder="1"/>
    <xf numFmtId="0" fontId="0" fillId="0" borderId="111" xfId="0" applyBorder="1"/>
    <xf numFmtId="0" fontId="1" fillId="4" borderId="110" xfId="0" applyFont="1" applyFill="1" applyBorder="1"/>
    <xf numFmtId="0" fontId="1" fillId="4" borderId="104" xfId="0" applyFont="1" applyFill="1" applyBorder="1"/>
    <xf numFmtId="0" fontId="1" fillId="4" borderId="106" xfId="0" applyFont="1" applyFill="1" applyBorder="1"/>
    <xf numFmtId="0" fontId="45" fillId="0" borderId="0" xfId="0" applyFont="1"/>
    <xf numFmtId="0" fontId="26" fillId="0" borderId="34" xfId="0" applyFont="1" applyBorder="1" applyAlignment="1">
      <alignment horizontal="left" wrapText="1" indent="1"/>
    </xf>
    <xf numFmtId="0" fontId="30" fillId="0" borderId="112" xfId="0" applyFont="1" applyBorder="1" applyAlignment="1">
      <alignment wrapText="1"/>
    </xf>
    <xf numFmtId="0" fontId="27" fillId="0" borderId="112" xfId="0" applyFont="1" applyBorder="1" applyAlignment="1">
      <alignment wrapText="1"/>
    </xf>
    <xf numFmtId="0" fontId="27" fillId="0" borderId="112" xfId="0" applyFont="1" applyFill="1" applyBorder="1" applyAlignment="1">
      <alignment wrapText="1"/>
    </xf>
    <xf numFmtId="43" fontId="27" fillId="0" borderId="112" xfId="1" applyFont="1" applyFill="1" applyBorder="1" applyAlignment="1">
      <alignment wrapText="1"/>
    </xf>
    <xf numFmtId="0" fontId="27" fillId="0" borderId="112" xfId="0" applyFont="1" applyBorder="1"/>
    <xf numFmtId="0" fontId="27" fillId="0" borderId="113" xfId="0" applyFont="1" applyBorder="1"/>
    <xf numFmtId="0" fontId="26" fillId="0" borderId="114" xfId="0" applyFont="1" applyBorder="1" applyAlignment="1">
      <alignment horizontal="left" wrapText="1" indent="1"/>
    </xf>
    <xf numFmtId="38" fontId="29" fillId="0" borderId="115" xfId="0" applyNumberFormat="1" applyFont="1" applyBorder="1"/>
    <xf numFmtId="38" fontId="29" fillId="0" borderId="116" xfId="0" applyNumberFormat="1" applyFont="1" applyBorder="1"/>
    <xf numFmtId="0" fontId="27" fillId="0" borderId="34" xfId="0" applyFont="1" applyBorder="1" applyAlignment="1">
      <alignment horizontal="left" wrapText="1"/>
    </xf>
    <xf numFmtId="0" fontId="27" fillId="0" borderId="112" xfId="0" applyFont="1" applyBorder="1" applyAlignment="1">
      <alignment horizontal="left" wrapText="1"/>
    </xf>
    <xf numFmtId="0" fontId="28" fillId="13" borderId="62" xfId="0" applyFont="1" applyFill="1" applyBorder="1"/>
    <xf numFmtId="0" fontId="28" fillId="13" borderId="117" xfId="0" applyFont="1" applyFill="1" applyBorder="1"/>
    <xf numFmtId="0" fontId="28" fillId="13" borderId="51" xfId="0" applyFont="1" applyFill="1" applyBorder="1"/>
    <xf numFmtId="0" fontId="27" fillId="0" borderId="113" xfId="0" applyFont="1" applyBorder="1" applyAlignment="1">
      <alignment horizontal="left" wrapText="1"/>
    </xf>
    <xf numFmtId="38" fontId="27" fillId="0" borderId="45" xfId="0" applyNumberFormat="1" applyFont="1" applyBorder="1"/>
    <xf numFmtId="3" fontId="46" fillId="0" borderId="1" xfId="0" applyNumberFormat="1" applyFont="1" applyBorder="1"/>
    <xf numFmtId="171" fontId="0" fillId="0" borderId="0" xfId="0" applyNumberFormat="1"/>
    <xf numFmtId="38" fontId="29" fillId="0" borderId="0" xfId="0" applyNumberFormat="1" applyFont="1" applyFill="1" applyBorder="1"/>
    <xf numFmtId="0" fontId="29" fillId="0" borderId="0" xfId="0" applyFont="1"/>
    <xf numFmtId="2" fontId="0" fillId="0" borderId="0" xfId="0" applyNumberFormat="1"/>
    <xf numFmtId="3" fontId="29" fillId="0" borderId="0" xfId="0" applyNumberFormat="1" applyFont="1" applyFill="1" applyBorder="1"/>
    <xf numFmtId="0" fontId="0" fillId="0" borderId="0" xfId="0" applyNumberFormat="1"/>
    <xf numFmtId="0" fontId="28" fillId="0" borderId="0" xfId="0" applyFont="1" applyFill="1" applyBorder="1"/>
    <xf numFmtId="165" fontId="28" fillId="0" borderId="0" xfId="0" applyNumberFormat="1" applyFont="1" applyFill="1" applyBorder="1" applyAlignment="1">
      <alignment horizontal="right"/>
    </xf>
    <xf numFmtId="0" fontId="0" fillId="0" borderId="0" xfId="0" applyFill="1" applyBorder="1"/>
    <xf numFmtId="0" fontId="29" fillId="0" borderId="0" xfId="0" applyFont="1" applyFill="1" applyBorder="1"/>
    <xf numFmtId="0" fontId="1" fillId="0" borderId="0" xfId="0" applyFont="1"/>
    <xf numFmtId="0" fontId="1" fillId="0" borderId="0" xfId="0" applyFont="1" applyFill="1" applyBorder="1"/>
    <xf numFmtId="4" fontId="0" fillId="0" borderId="0" xfId="0" applyNumberFormat="1"/>
    <xf numFmtId="172" fontId="0" fillId="0" borderId="0" xfId="0" applyNumberFormat="1"/>
    <xf numFmtId="4" fontId="0" fillId="0" borderId="0" xfId="1" applyNumberFormat="1" applyFont="1"/>
    <xf numFmtId="173" fontId="0" fillId="0" borderId="0" xfId="0" applyNumberFormat="1"/>
    <xf numFmtId="0" fontId="11" fillId="0" borderId="16" xfId="0" applyFont="1" applyBorder="1" applyAlignment="1"/>
    <xf numFmtId="0" fontId="11" fillId="0" borderId="4" xfId="0" applyFont="1" applyBorder="1" applyAlignment="1"/>
    <xf numFmtId="0" fontId="0" fillId="0" borderId="11" xfId="0" applyBorder="1" applyAlignment="1"/>
    <xf numFmtId="0" fontId="11" fillId="0" borderId="29" xfId="0" applyFont="1" applyBorder="1" applyAlignment="1">
      <alignment horizontal="justify" vertical="center" wrapText="1"/>
    </xf>
    <xf numFmtId="0" fontId="0" fillId="0" borderId="30" xfId="0" applyBorder="1" applyAlignment="1">
      <alignment horizontal="justify" vertical="center" wrapText="1"/>
    </xf>
    <xf numFmtId="0" fontId="10" fillId="0" borderId="23" xfId="0" applyFont="1" applyBorder="1" applyAlignment="1">
      <alignment horizontal="justify" vertical="center" wrapText="1"/>
    </xf>
    <xf numFmtId="0" fontId="0" fillId="0" borderId="22" xfId="0" applyBorder="1" applyAlignment="1">
      <alignment horizontal="justify" vertical="center" wrapText="1"/>
    </xf>
    <xf numFmtId="0" fontId="0" fillId="0" borderId="24" xfId="0" applyBorder="1" applyAlignment="1">
      <alignment horizontal="justify" vertical="center" wrapText="1"/>
    </xf>
    <xf numFmtId="0" fontId="0" fillId="0" borderId="20" xfId="0" applyBorder="1" applyAlignment="1">
      <alignment horizontal="justify" vertical="center" wrapText="1"/>
    </xf>
    <xf numFmtId="0" fontId="10" fillId="0" borderId="16" xfId="0" applyFont="1" applyBorder="1" applyAlignment="1">
      <alignment horizontal="center" vertical="center"/>
    </xf>
    <xf numFmtId="0" fontId="10" fillId="0" borderId="4" xfId="0" applyFont="1" applyBorder="1" applyAlignment="1">
      <alignment horizontal="center" vertical="center"/>
    </xf>
    <xf numFmtId="0" fontId="10" fillId="0" borderId="16" xfId="0" applyFont="1" applyBorder="1" applyAlignment="1"/>
    <xf numFmtId="0" fontId="10" fillId="0" borderId="4" xfId="0" applyFont="1" applyBorder="1" applyAlignment="1"/>
    <xf numFmtId="0" fontId="10" fillId="0" borderId="0" xfId="0" applyFont="1" applyAlignment="1">
      <alignment horizontal="center"/>
    </xf>
    <xf numFmtId="0" fontId="11" fillId="0" borderId="0" xfId="0" applyFont="1" applyBorder="1"/>
    <xf numFmtId="0" fontId="10" fillId="0" borderId="40" xfId="0" applyFont="1" applyBorder="1" applyAlignment="1"/>
    <xf numFmtId="0" fontId="10" fillId="0" borderId="41" xfId="0" applyFont="1" applyBorder="1" applyAlignment="1"/>
    <xf numFmtId="0" fontId="0" fillId="0" borderId="42" xfId="0" applyBorder="1" applyAlignment="1"/>
    <xf numFmtId="0" fontId="10" fillId="0" borderId="16" xfId="0" applyFont="1" applyBorder="1" applyAlignment="1">
      <alignment horizontal="center"/>
    </xf>
    <xf numFmtId="0" fontId="10" fillId="0" borderId="4" xfId="0" applyFont="1" applyBorder="1" applyAlignment="1">
      <alignment horizontal="center"/>
    </xf>
    <xf numFmtId="0" fontId="0" fillId="0" borderId="4" xfId="0" applyBorder="1" applyAlignment="1"/>
    <xf numFmtId="0" fontId="11" fillId="0" borderId="0" xfId="0" applyFont="1" applyBorder="1" applyAlignment="1">
      <alignment horizontal="center"/>
    </xf>
    <xf numFmtId="0" fontId="10" fillId="0" borderId="25" xfId="0" applyFont="1" applyBorder="1" applyAlignment="1">
      <alignment horizontal="justify" vertical="center" wrapText="1"/>
    </xf>
    <xf numFmtId="0" fontId="0" fillId="0" borderId="18" xfId="0" applyBorder="1" applyAlignment="1">
      <alignment horizontal="justify" vertical="center" wrapText="1"/>
    </xf>
    <xf numFmtId="0" fontId="10" fillId="0" borderId="0" xfId="0" applyFont="1" applyAlignment="1">
      <alignment horizontal="center" vertical="center"/>
    </xf>
    <xf numFmtId="0" fontId="10" fillId="0" borderId="21" xfId="0" applyFont="1" applyBorder="1" applyAlignment="1">
      <alignment horizontal="justify" vertical="center" wrapText="1"/>
    </xf>
    <xf numFmtId="0" fontId="0" fillId="0" borderId="19" xfId="0" applyBorder="1" applyAlignment="1">
      <alignment horizontal="justify" vertical="center" wrapText="1"/>
    </xf>
    <xf numFmtId="0" fontId="11" fillId="0" borderId="23" xfId="0" applyFont="1" applyBorder="1" applyAlignment="1">
      <alignment horizontal="justify" vertical="center" wrapText="1"/>
    </xf>
    <xf numFmtId="0" fontId="11" fillId="0" borderId="24" xfId="0" applyFont="1" applyBorder="1" applyAlignment="1">
      <alignment horizontal="justify" vertical="center" wrapText="1"/>
    </xf>
    <xf numFmtId="0" fontId="10" fillId="0" borderId="16" xfId="0" applyFont="1" applyBorder="1" applyAlignment="1">
      <alignment horizontal="justify"/>
    </xf>
    <xf numFmtId="0" fontId="0" fillId="0" borderId="11" xfId="0" applyBorder="1" applyAlignment="1">
      <alignment horizontal="center" vertical="center"/>
    </xf>
    <xf numFmtId="0" fontId="0" fillId="0" borderId="0" xfId="0" applyAlignment="1">
      <alignment horizontal="center"/>
    </xf>
    <xf numFmtId="0" fontId="10" fillId="0" borderId="16" xfId="0" applyFont="1" applyBorder="1" applyAlignment="1">
      <alignment horizontal="justify" vertical="center"/>
    </xf>
    <xf numFmtId="0" fontId="0" fillId="0" borderId="11" xfId="0" applyBorder="1" applyAlignment="1">
      <alignment horizontal="justify" vertical="center"/>
    </xf>
    <xf numFmtId="0" fontId="11" fillId="0" borderId="34" xfId="0" applyFont="1" applyBorder="1" applyAlignment="1">
      <alignment horizontal="justify" vertical="center" wrapText="1"/>
    </xf>
    <xf numFmtId="0" fontId="0" fillId="0" borderId="35" xfId="0" applyBorder="1" applyAlignment="1">
      <alignment horizontal="justify" vertical="center" wrapText="1"/>
    </xf>
    <xf numFmtId="0" fontId="11" fillId="0" borderId="36" xfId="0" applyFont="1" applyBorder="1" applyAlignment="1">
      <alignment horizontal="justify" vertical="center" wrapText="1"/>
    </xf>
    <xf numFmtId="0" fontId="0" fillId="0" borderId="32" xfId="0" applyBorder="1" applyAlignment="1">
      <alignment horizontal="justify" vertical="center" wrapText="1"/>
    </xf>
    <xf numFmtId="0" fontId="0" fillId="0" borderId="0" xfId="0" applyAlignment="1"/>
    <xf numFmtId="0" fontId="10" fillId="0" borderId="24" xfId="0" applyFont="1" applyBorder="1" applyAlignment="1">
      <alignment horizontal="justify" vertical="center" wrapText="1"/>
    </xf>
    <xf numFmtId="0" fontId="11" fillId="0" borderId="0" xfId="0" applyFont="1" applyAlignment="1">
      <alignment horizontal="justify" vertical="center"/>
    </xf>
    <xf numFmtId="0" fontId="0" fillId="0" borderId="0" xfId="0" applyFont="1" applyAlignment="1"/>
    <xf numFmtId="0" fontId="10" fillId="0" borderId="25" xfId="0" applyFont="1" applyBorder="1" applyAlignment="1">
      <alignment horizontal="center" vertical="center" wrapText="1"/>
    </xf>
    <xf numFmtId="0" fontId="11" fillId="0" borderId="18" xfId="0" applyFont="1" applyBorder="1" applyAlignment="1">
      <alignment horizontal="center" vertical="center" wrapText="1"/>
    </xf>
    <xf numFmtId="0" fontId="12" fillId="0" borderId="25" xfId="0" applyFont="1" applyBorder="1" applyAlignment="1">
      <alignment horizontal="justify" vertical="center" wrapText="1"/>
    </xf>
    <xf numFmtId="0" fontId="0" fillId="0" borderId="18" xfId="0" applyFont="1" applyBorder="1" applyAlignment="1">
      <alignment vertical="center" wrapText="1"/>
    </xf>
    <xf numFmtId="0" fontId="11" fillId="0" borderId="21" xfId="0" applyFont="1" applyBorder="1" applyAlignment="1">
      <alignment horizontal="justify" vertical="center" wrapText="1"/>
    </xf>
    <xf numFmtId="0" fontId="11" fillId="0" borderId="19" xfId="0" applyFont="1" applyBorder="1" applyAlignment="1">
      <alignment horizontal="justify" vertical="center" wrapText="1"/>
    </xf>
    <xf numFmtId="0" fontId="10" fillId="0" borderId="19" xfId="0" applyFont="1" applyBorder="1" applyAlignment="1">
      <alignment horizontal="justify" vertical="center" wrapText="1"/>
    </xf>
    <xf numFmtId="0" fontId="11" fillId="0" borderId="0" xfId="0" applyFont="1" applyAlignment="1">
      <alignment vertical="center"/>
    </xf>
    <xf numFmtId="0" fontId="1" fillId="0" borderId="20" xfId="0" applyFont="1" applyBorder="1" applyAlignment="1">
      <alignment horizontal="justify" vertical="center" wrapText="1"/>
    </xf>
    <xf numFmtId="0" fontId="1" fillId="0" borderId="0" xfId="0" applyFont="1" applyAlignment="1">
      <alignment horizontal="center"/>
    </xf>
    <xf numFmtId="0" fontId="11" fillId="0" borderId="25" xfId="0" applyFont="1" applyBorder="1" applyAlignment="1">
      <alignment horizontal="justify" vertical="center" wrapText="1"/>
    </xf>
    <xf numFmtId="0" fontId="0" fillId="0" borderId="28" xfId="0" applyFont="1" applyBorder="1" applyAlignment="1">
      <alignment horizontal="justify" vertical="center" wrapText="1"/>
    </xf>
    <xf numFmtId="0" fontId="10" fillId="0" borderId="23"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2" xfId="0" applyBorder="1" applyAlignment="1">
      <alignment vertical="center" wrapText="1"/>
    </xf>
    <xf numFmtId="0" fontId="10" fillId="0" borderId="24"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0" xfId="0" applyBorder="1" applyAlignment="1">
      <alignment vertical="center" wrapText="1"/>
    </xf>
    <xf numFmtId="0" fontId="11" fillId="0" borderId="0" xfId="0" applyFont="1" applyAlignment="1">
      <alignment horizontal="center" vertical="center"/>
    </xf>
    <xf numFmtId="0" fontId="7" fillId="0" borderId="0" xfId="0" applyFont="1" applyAlignment="1">
      <alignment wrapText="1"/>
    </xf>
    <xf numFmtId="0" fontId="6" fillId="0" borderId="0" xfId="0" applyFont="1" applyBorder="1" applyAlignment="1">
      <alignment horizontal="justify" vertical="center"/>
    </xf>
    <xf numFmtId="0" fontId="0" fillId="0" borderId="0" xfId="0" applyBorder="1" applyAlignment="1"/>
    <xf numFmtId="0" fontId="3" fillId="0" borderId="5" xfId="0" applyFont="1" applyBorder="1" applyAlignment="1">
      <alignment horizontal="justify" vertical="center" wrapText="1"/>
    </xf>
    <xf numFmtId="0" fontId="0" fillId="0" borderId="5" xfId="0" applyBorder="1" applyAlignment="1">
      <alignment vertical="center" wrapText="1"/>
    </xf>
    <xf numFmtId="0" fontId="10" fillId="0" borderId="13" xfId="0" applyFont="1" applyBorder="1" applyAlignment="1"/>
    <xf numFmtId="0" fontId="0" fillId="0" borderId="14" xfId="0" applyBorder="1" applyAlignment="1"/>
    <xf numFmtId="0" fontId="0" fillId="0" borderId="107" xfId="0" applyBorder="1" applyAlignment="1"/>
    <xf numFmtId="164" fontId="10" fillId="0" borderId="15" xfId="0" applyNumberFormat="1" applyFont="1" applyFill="1" applyBorder="1" applyAlignment="1"/>
    <xf numFmtId="0" fontId="0" fillId="0" borderId="9" xfId="0" applyBorder="1" applyAlignment="1"/>
    <xf numFmtId="0" fontId="0" fillId="0" borderId="108" xfId="0" applyBorder="1" applyAlignment="1"/>
    <xf numFmtId="0" fontId="10" fillId="0" borderId="29" xfId="0" applyFont="1" applyFill="1" applyBorder="1" applyAlignment="1">
      <alignment horizontal="center" vertical="top"/>
    </xf>
    <xf numFmtId="0" fontId="10" fillId="0" borderId="0" xfId="0" applyFont="1" applyFill="1" applyBorder="1" applyAlignment="1">
      <alignment horizontal="center" vertical="top"/>
    </xf>
    <xf numFmtId="0" fontId="0" fillId="0" borderId="43" xfId="0" applyBorder="1" applyAlignment="1">
      <alignment horizontal="center"/>
    </xf>
    <xf numFmtId="0" fontId="0" fillId="0" borderId="9" xfId="0" applyBorder="1" applyAlignment="1">
      <alignment horizontal="center"/>
    </xf>
    <xf numFmtId="0" fontId="0" fillId="0" borderId="44" xfId="0" applyBorder="1" applyAlignment="1">
      <alignment horizontal="center"/>
    </xf>
    <xf numFmtId="4" fontId="16" fillId="5" borderId="105" xfId="0" applyNumberFormat="1" applyFont="1" applyFill="1" applyBorder="1" applyAlignment="1">
      <alignment horizontal="center" vertical="center" wrapText="1"/>
    </xf>
    <xf numFmtId="0" fontId="0" fillId="0" borderId="3" xfId="0" applyBorder="1" applyAlignment="1"/>
    <xf numFmtId="4" fontId="44" fillId="5" borderId="105" xfId="0" applyNumberFormat="1" applyFont="1" applyFill="1" applyBorder="1" applyAlignment="1">
      <alignment horizontal="center" vertical="center" wrapText="1"/>
    </xf>
    <xf numFmtId="0" fontId="0" fillId="5" borderId="3" xfId="0" applyFill="1" applyBorder="1" applyAlignment="1">
      <alignment vertical="center" wrapText="1"/>
    </xf>
    <xf numFmtId="0" fontId="44" fillId="5" borderId="105" xfId="0" applyFont="1" applyFill="1" applyBorder="1" applyAlignment="1">
      <alignment vertical="center" wrapText="1"/>
    </xf>
    <xf numFmtId="0" fontId="16" fillId="5" borderId="105" xfId="0" applyFont="1" applyFill="1" applyBorder="1" applyAlignment="1">
      <alignment horizontal="center" vertical="center" wrapText="1"/>
    </xf>
    <xf numFmtId="0" fontId="12" fillId="5" borderId="3" xfId="0" applyFont="1" applyFill="1" applyBorder="1" applyAlignment="1">
      <alignment vertical="center" wrapText="1"/>
    </xf>
    <xf numFmtId="43" fontId="0" fillId="0" borderId="0" xfId="1" applyFont="1" applyFill="1" applyBorder="1" applyAlignment="1">
      <alignment horizontal="center"/>
    </xf>
    <xf numFmtId="0" fontId="23" fillId="0" borderId="0" xfId="0" applyFont="1" applyAlignment="1">
      <alignment horizontal="center"/>
    </xf>
    <xf numFmtId="0" fontId="24" fillId="0" borderId="0" xfId="0" applyFont="1" applyAlignment="1">
      <alignment horizontal="center"/>
    </xf>
    <xf numFmtId="0" fontId="26" fillId="0" borderId="23" xfId="0" applyFont="1" applyBorder="1" applyAlignment="1">
      <alignment horizontal="center" vertical="center"/>
    </xf>
    <xf numFmtId="0" fontId="26" fillId="0" borderId="29" xfId="0" applyFont="1" applyBorder="1" applyAlignment="1">
      <alignment horizontal="center" vertical="center"/>
    </xf>
    <xf numFmtId="15" fontId="27" fillId="12" borderId="34" xfId="0" applyNumberFormat="1" applyFont="1" applyFill="1" applyBorder="1" applyAlignment="1">
      <alignment horizontal="center" vertical="center"/>
    </xf>
    <xf numFmtId="15" fontId="27" fillId="12" borderId="46" xfId="0" applyNumberFormat="1" applyFont="1" applyFill="1" applyBorder="1" applyAlignment="1">
      <alignment horizontal="center" vertical="center"/>
    </xf>
    <xf numFmtId="15" fontId="27" fillId="12" borderId="45" xfId="0" applyNumberFormat="1" applyFont="1" applyFill="1" applyBorder="1" applyAlignment="1">
      <alignment horizontal="center" vertical="center"/>
    </xf>
    <xf numFmtId="15" fontId="27" fillId="12" borderId="7" xfId="0" applyNumberFormat="1" applyFont="1" applyFill="1" applyBorder="1" applyAlignment="1">
      <alignment horizontal="center" vertical="center"/>
    </xf>
    <xf numFmtId="15" fontId="27" fillId="12" borderId="35" xfId="0" applyNumberFormat="1" applyFont="1" applyFill="1" applyBorder="1" applyAlignment="1">
      <alignment horizontal="center" vertical="center"/>
    </xf>
    <xf numFmtId="15" fontId="27" fillId="12" borderId="47" xfId="0" applyNumberFormat="1" applyFont="1" applyFill="1" applyBorder="1" applyAlignment="1">
      <alignment horizontal="center" vertical="center"/>
    </xf>
    <xf numFmtId="0" fontId="25" fillId="0" borderId="0" xfId="0" applyFont="1" applyAlignment="1">
      <alignment horizontal="center" wrapText="1"/>
    </xf>
    <xf numFmtId="0" fontId="25" fillId="0" borderId="0" xfId="0" applyFont="1" applyAlignment="1">
      <alignment horizontal="center"/>
    </xf>
    <xf numFmtId="0" fontId="32" fillId="0" borderId="0" xfId="0" applyFont="1" applyAlignment="1">
      <alignment horizontal="center"/>
    </xf>
    <xf numFmtId="0" fontId="36" fillId="14" borderId="71" xfId="0" applyFont="1" applyFill="1" applyBorder="1" applyAlignment="1">
      <alignment horizontal="center"/>
    </xf>
    <xf numFmtId="0" fontId="36" fillId="14" borderId="72" xfId="0" applyFont="1" applyFill="1" applyBorder="1" applyAlignment="1">
      <alignment horizontal="center"/>
    </xf>
    <xf numFmtId="169" fontId="38" fillId="0" borderId="83" xfId="0" applyNumberFormat="1" applyFont="1" applyBorder="1" applyAlignment="1" applyProtection="1">
      <alignment horizontal="left"/>
    </xf>
    <xf numFmtId="0" fontId="39" fillId="0" borderId="84" xfId="0" applyFont="1" applyBorder="1" applyAlignment="1"/>
    <xf numFmtId="169" fontId="36" fillId="0" borderId="86" xfId="0" applyNumberFormat="1" applyFont="1" applyBorder="1" applyAlignment="1" applyProtection="1">
      <alignment horizontal="left"/>
    </xf>
    <xf numFmtId="0" fontId="39" fillId="0" borderId="87" xfId="0" applyFont="1" applyBorder="1" applyAlignment="1"/>
    <xf numFmtId="0" fontId="38" fillId="0" borderId="91" xfId="0" applyFont="1" applyBorder="1" applyAlignment="1">
      <alignment horizontal="justify"/>
    </xf>
    <xf numFmtId="0" fontId="39" fillId="0" borderId="92" xfId="0" applyFont="1" applyBorder="1" applyAlignment="1"/>
  </cellXfs>
  <cellStyles count="2">
    <cellStyle name="Millares" xfId="1" builtinId="3"/>
    <cellStyle name="Normal"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16626</xdr:colOff>
      <xdr:row>0</xdr:row>
      <xdr:rowOff>58190</xdr:rowOff>
    </xdr:from>
    <xdr:to>
      <xdr:col>10</xdr:col>
      <xdr:colOff>124692</xdr:colOff>
      <xdr:row>5</xdr:row>
      <xdr:rowOff>54034</xdr:rowOff>
    </xdr:to>
    <xdr:sp macro="" textlink="">
      <xdr:nvSpPr>
        <xdr:cNvPr id="2" name="Rectangle 2"/>
        <xdr:cNvSpPr>
          <a:spLocks noGrp="1" noChangeArrowheads="1"/>
        </xdr:cNvSpPr>
      </xdr:nvSpPr>
      <xdr:spPr bwMode="auto">
        <a:xfrm>
          <a:off x="10390910" y="58190"/>
          <a:ext cx="82296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ctr" anchorCtr="0" compatLnSpc="1">
          <a:prstTxWarp prst="textNoShape">
            <a:avLst/>
          </a:prstTxWarp>
        </a:bodyPr>
        <a:lstStyle>
          <a:lvl1pPr algn="l" rtl="0" eaLnBrk="0" fontAlgn="base" hangingPunct="0">
            <a:spcBef>
              <a:spcPct val="0"/>
            </a:spcBef>
            <a:spcAft>
              <a:spcPct val="0"/>
            </a:spcAft>
            <a:defRPr sz="3800">
              <a:solidFill>
                <a:schemeClr val="tx2"/>
              </a:solidFill>
              <a:latin typeface="+mj-lt"/>
              <a:ea typeface="+mj-ea"/>
              <a:cs typeface="+mj-cs"/>
            </a:defRPr>
          </a:lvl1pPr>
          <a:lvl2pPr algn="l" rtl="0" eaLnBrk="0" fontAlgn="base" hangingPunct="0">
            <a:spcBef>
              <a:spcPct val="0"/>
            </a:spcBef>
            <a:spcAft>
              <a:spcPct val="0"/>
            </a:spcAft>
            <a:defRPr sz="3800">
              <a:solidFill>
                <a:schemeClr val="tx2"/>
              </a:solidFill>
              <a:latin typeface="Arial" charset="0"/>
            </a:defRPr>
          </a:lvl2pPr>
          <a:lvl3pPr algn="l" rtl="0" eaLnBrk="0" fontAlgn="base" hangingPunct="0">
            <a:spcBef>
              <a:spcPct val="0"/>
            </a:spcBef>
            <a:spcAft>
              <a:spcPct val="0"/>
            </a:spcAft>
            <a:defRPr sz="3800">
              <a:solidFill>
                <a:schemeClr val="tx2"/>
              </a:solidFill>
              <a:latin typeface="Arial" charset="0"/>
            </a:defRPr>
          </a:lvl3pPr>
          <a:lvl4pPr algn="l" rtl="0" eaLnBrk="0" fontAlgn="base" hangingPunct="0">
            <a:spcBef>
              <a:spcPct val="0"/>
            </a:spcBef>
            <a:spcAft>
              <a:spcPct val="0"/>
            </a:spcAft>
            <a:defRPr sz="3800">
              <a:solidFill>
                <a:schemeClr val="tx2"/>
              </a:solidFill>
              <a:latin typeface="Arial" charset="0"/>
            </a:defRPr>
          </a:lvl4pPr>
          <a:lvl5pPr algn="l" rtl="0" eaLnBrk="0" fontAlgn="base" hangingPunct="0">
            <a:spcBef>
              <a:spcPct val="0"/>
            </a:spcBef>
            <a:spcAft>
              <a:spcPct val="0"/>
            </a:spcAft>
            <a:defRPr sz="3800">
              <a:solidFill>
                <a:schemeClr val="tx2"/>
              </a:solidFill>
              <a:latin typeface="Arial" charset="0"/>
            </a:defRPr>
          </a:lvl5pPr>
          <a:lvl6pPr marL="457200" algn="l" rtl="0" fontAlgn="base">
            <a:spcBef>
              <a:spcPct val="0"/>
            </a:spcBef>
            <a:spcAft>
              <a:spcPct val="0"/>
            </a:spcAft>
            <a:defRPr sz="3800">
              <a:solidFill>
                <a:schemeClr val="tx2"/>
              </a:solidFill>
              <a:latin typeface="Arial" charset="0"/>
            </a:defRPr>
          </a:lvl6pPr>
          <a:lvl7pPr marL="914400" algn="l" rtl="0" fontAlgn="base">
            <a:spcBef>
              <a:spcPct val="0"/>
            </a:spcBef>
            <a:spcAft>
              <a:spcPct val="0"/>
            </a:spcAft>
            <a:defRPr sz="3800">
              <a:solidFill>
                <a:schemeClr val="tx2"/>
              </a:solidFill>
              <a:latin typeface="Arial" charset="0"/>
            </a:defRPr>
          </a:lvl7pPr>
          <a:lvl8pPr marL="1371600" algn="l" rtl="0" fontAlgn="base">
            <a:spcBef>
              <a:spcPct val="0"/>
            </a:spcBef>
            <a:spcAft>
              <a:spcPct val="0"/>
            </a:spcAft>
            <a:defRPr sz="3800">
              <a:solidFill>
                <a:schemeClr val="tx2"/>
              </a:solidFill>
              <a:latin typeface="Arial" charset="0"/>
            </a:defRPr>
          </a:lvl8pPr>
          <a:lvl9pPr marL="1828800" algn="l" rtl="0" fontAlgn="base">
            <a:spcBef>
              <a:spcPct val="0"/>
            </a:spcBef>
            <a:spcAft>
              <a:spcPct val="0"/>
            </a:spcAft>
            <a:defRPr sz="3800">
              <a:solidFill>
                <a:schemeClr val="tx2"/>
              </a:solidFill>
              <a:latin typeface="Arial" charset="0"/>
            </a:defRPr>
          </a:lvl9pPr>
        </a:lstStyle>
        <a:p>
          <a:pPr eaLnBrk="1" hangingPunct="1"/>
          <a:r>
            <a:rPr lang="es-ES_tradnl" altLang="es-PA"/>
            <a:t>Costos de Inversión Inicial</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G111"/>
  <sheetViews>
    <sheetView zoomScaleNormal="100" zoomScaleSheetLayoutView="100" workbookViewId="0">
      <selection activeCell="B7" sqref="B7:G38"/>
    </sheetView>
  </sheetViews>
  <sheetFormatPr baseColWidth="10" defaultRowHeight="15" x14ac:dyDescent="0.25"/>
  <cols>
    <col min="1" max="1" width="4.7109375" customWidth="1"/>
    <col min="2" max="2" width="25.28515625" customWidth="1"/>
    <col min="4" max="4" width="13.28515625" customWidth="1"/>
    <col min="5" max="5" width="13" customWidth="1"/>
    <col min="6" max="6" width="12.140625" customWidth="1"/>
    <col min="8" max="8" width="6" customWidth="1"/>
  </cols>
  <sheetData>
    <row r="7" spans="2:7" ht="15.75" x14ac:dyDescent="0.25">
      <c r="B7" s="335" t="s">
        <v>51</v>
      </c>
      <c r="C7" s="335"/>
      <c r="D7" s="335"/>
      <c r="E7" s="335"/>
      <c r="F7" s="335"/>
      <c r="G7" s="335"/>
    </row>
    <row r="8" spans="2:7" ht="15.75" x14ac:dyDescent="0.25">
      <c r="B8" s="335" t="s">
        <v>52</v>
      </c>
      <c r="C8" s="335"/>
      <c r="D8" s="335"/>
      <c r="E8" s="335"/>
      <c r="F8" s="335"/>
      <c r="G8" s="335"/>
    </row>
    <row r="9" spans="2:7" ht="15.75" x14ac:dyDescent="0.25">
      <c r="B9" s="62"/>
      <c r="C9" s="62"/>
      <c r="D9" s="62"/>
      <c r="E9" s="62"/>
      <c r="F9" s="62"/>
      <c r="G9" s="62"/>
    </row>
    <row r="10" spans="2:7" ht="31.5" x14ac:dyDescent="0.25">
      <c r="B10" s="354" t="s">
        <v>53</v>
      </c>
      <c r="C10" s="355"/>
      <c r="D10" s="63" t="s">
        <v>54</v>
      </c>
      <c r="E10" s="64" t="s">
        <v>55</v>
      </c>
      <c r="F10" s="64" t="s">
        <v>56</v>
      </c>
      <c r="G10" s="64" t="s">
        <v>57</v>
      </c>
    </row>
    <row r="11" spans="2:7" ht="15.75" x14ac:dyDescent="0.25">
      <c r="B11" s="322" t="s">
        <v>58</v>
      </c>
      <c r="C11" s="324"/>
      <c r="D11" s="54"/>
      <c r="E11" s="54"/>
      <c r="F11" s="54"/>
      <c r="G11" s="54"/>
    </row>
    <row r="12" spans="2:7" ht="15.75" x14ac:dyDescent="0.25">
      <c r="B12" s="322"/>
      <c r="C12" s="324"/>
      <c r="D12" s="54"/>
      <c r="E12" s="54"/>
      <c r="F12" s="54"/>
      <c r="G12" s="54"/>
    </row>
    <row r="13" spans="2:7" ht="15.75" x14ac:dyDescent="0.25">
      <c r="B13" s="322"/>
      <c r="C13" s="324"/>
      <c r="D13" s="54"/>
      <c r="E13" s="54"/>
      <c r="F13" s="54"/>
      <c r="G13" s="54"/>
    </row>
    <row r="14" spans="2:7" ht="15.75" x14ac:dyDescent="0.25">
      <c r="B14" s="62"/>
      <c r="C14" s="62"/>
      <c r="D14" s="62"/>
      <c r="E14" s="62"/>
      <c r="F14" s="62"/>
      <c r="G14" s="62"/>
    </row>
    <row r="15" spans="2:7" ht="15.75" x14ac:dyDescent="0.25">
      <c r="B15" s="62"/>
      <c r="C15" s="62"/>
      <c r="D15" s="62"/>
      <c r="E15" s="62"/>
      <c r="F15" s="62"/>
      <c r="G15" s="62"/>
    </row>
    <row r="16" spans="2:7" ht="15.75" x14ac:dyDescent="0.25">
      <c r="B16" s="335" t="s">
        <v>59</v>
      </c>
      <c r="C16" s="353"/>
      <c r="D16" s="353"/>
      <c r="E16" s="353"/>
      <c r="F16" s="353"/>
      <c r="G16" s="353"/>
    </row>
    <row r="17" spans="2:7" ht="15.75" x14ac:dyDescent="0.25">
      <c r="B17" s="335" t="s">
        <v>60</v>
      </c>
      <c r="C17" s="353"/>
      <c r="D17" s="353"/>
      <c r="E17" s="353"/>
      <c r="F17" s="353"/>
      <c r="G17" s="353"/>
    </row>
    <row r="18" spans="2:7" ht="15.75" x14ac:dyDescent="0.25">
      <c r="B18" s="62"/>
      <c r="C18" s="62"/>
      <c r="D18" s="62"/>
      <c r="E18" s="62"/>
      <c r="F18" s="62"/>
      <c r="G18" s="62"/>
    </row>
    <row r="19" spans="2:7" ht="31.5" x14ac:dyDescent="0.25">
      <c r="B19" s="74" t="s">
        <v>61</v>
      </c>
      <c r="C19" s="53" t="s">
        <v>54</v>
      </c>
      <c r="D19" s="53" t="s">
        <v>62</v>
      </c>
      <c r="E19" s="53" t="s">
        <v>56</v>
      </c>
      <c r="F19" s="53" t="s">
        <v>57</v>
      </c>
      <c r="G19" s="53" t="s">
        <v>63</v>
      </c>
    </row>
    <row r="20" spans="2:7" ht="15.75" x14ac:dyDescent="0.25">
      <c r="B20" s="54"/>
      <c r="C20" s="54"/>
      <c r="D20" s="54"/>
      <c r="E20" s="54"/>
      <c r="F20" s="54"/>
      <c r="G20" s="54"/>
    </row>
    <row r="21" spans="2:7" ht="15.75" x14ac:dyDescent="0.25">
      <c r="B21" s="54"/>
      <c r="C21" s="54"/>
      <c r="D21" s="54"/>
      <c r="E21" s="54"/>
      <c r="F21" s="54"/>
      <c r="G21" s="54"/>
    </row>
    <row r="22" spans="2:7" ht="15.75" x14ac:dyDescent="0.25">
      <c r="B22" s="54"/>
      <c r="C22" s="54"/>
      <c r="D22" s="54"/>
      <c r="E22" s="54"/>
      <c r="F22" s="54"/>
      <c r="G22" s="54"/>
    </row>
    <row r="23" spans="2:7" ht="15.75" x14ac:dyDescent="0.25">
      <c r="B23" s="54"/>
      <c r="C23" s="54"/>
      <c r="D23" s="54"/>
      <c r="E23" s="54"/>
      <c r="F23" s="54"/>
      <c r="G23" s="54"/>
    </row>
    <row r="24" spans="2:7" ht="15.75" x14ac:dyDescent="0.25">
      <c r="B24" s="54"/>
      <c r="C24" s="54"/>
      <c r="D24" s="54"/>
      <c r="E24" s="54"/>
      <c r="F24" s="54"/>
      <c r="G24" s="54"/>
    </row>
    <row r="25" spans="2:7" ht="15.75" x14ac:dyDescent="0.25">
      <c r="B25" s="54"/>
      <c r="C25" s="54"/>
      <c r="D25" s="54"/>
      <c r="E25" s="55" t="s">
        <v>64</v>
      </c>
      <c r="F25" s="54"/>
      <c r="G25" s="54"/>
    </row>
    <row r="26" spans="2:7" ht="15.75" x14ac:dyDescent="0.25">
      <c r="B26" s="62"/>
      <c r="C26" s="62"/>
      <c r="D26" s="62"/>
      <c r="E26" s="62"/>
      <c r="F26" s="62"/>
      <c r="G26" s="62"/>
    </row>
    <row r="27" spans="2:7" ht="15.75" x14ac:dyDescent="0.25">
      <c r="B27" s="62"/>
      <c r="C27" s="62"/>
      <c r="D27" s="62"/>
      <c r="E27" s="62"/>
      <c r="F27" s="62"/>
      <c r="G27" s="62"/>
    </row>
    <row r="28" spans="2:7" ht="15.75" x14ac:dyDescent="0.25">
      <c r="B28" s="62"/>
      <c r="C28" s="62"/>
      <c r="D28" s="62"/>
      <c r="E28" s="62"/>
      <c r="F28" s="62"/>
      <c r="G28" s="62"/>
    </row>
    <row r="29" spans="2:7" ht="15.75" x14ac:dyDescent="0.25">
      <c r="B29" s="335" t="s">
        <v>65</v>
      </c>
      <c r="C29" s="335"/>
      <c r="D29" s="335"/>
      <c r="E29" s="335"/>
      <c r="F29" s="335"/>
      <c r="G29" s="335"/>
    </row>
    <row r="30" spans="2:7" ht="15.75" x14ac:dyDescent="0.25">
      <c r="B30" s="335" t="s">
        <v>66</v>
      </c>
      <c r="C30" s="335"/>
      <c r="D30" s="335"/>
      <c r="E30" s="335"/>
      <c r="F30" s="335"/>
      <c r="G30" s="335"/>
    </row>
    <row r="31" spans="2:7" ht="15.75" x14ac:dyDescent="0.25">
      <c r="B31" s="62"/>
      <c r="C31" s="62"/>
      <c r="D31" s="62"/>
      <c r="E31" s="62"/>
      <c r="F31" s="62"/>
      <c r="G31" s="62"/>
    </row>
    <row r="32" spans="2:7" ht="47.25" x14ac:dyDescent="0.25">
      <c r="B32" s="331" t="s">
        <v>67</v>
      </c>
      <c r="C32" s="352"/>
      <c r="D32" s="64" t="s">
        <v>68</v>
      </c>
      <c r="E32" s="63" t="s">
        <v>69</v>
      </c>
      <c r="F32" s="63" t="s">
        <v>70</v>
      </c>
      <c r="G32" s="63" t="s">
        <v>71</v>
      </c>
    </row>
    <row r="33" spans="2:7" ht="15.75" x14ac:dyDescent="0.25">
      <c r="B33" s="322" t="s">
        <v>107</v>
      </c>
      <c r="C33" s="324"/>
      <c r="D33" s="54" t="s">
        <v>112</v>
      </c>
      <c r="E33" s="54" t="s">
        <v>112</v>
      </c>
      <c r="F33" s="54"/>
      <c r="G33" s="54"/>
    </row>
    <row r="34" spans="2:7" ht="15.75" x14ac:dyDescent="0.25">
      <c r="B34" s="322" t="s">
        <v>108</v>
      </c>
      <c r="C34" s="324"/>
      <c r="D34" s="54"/>
      <c r="E34" s="54"/>
      <c r="F34" s="54"/>
      <c r="G34" s="54"/>
    </row>
    <row r="35" spans="2:7" ht="15.75" x14ac:dyDescent="0.25">
      <c r="B35" s="322" t="s">
        <v>109</v>
      </c>
      <c r="C35" s="324"/>
      <c r="D35" s="54"/>
      <c r="E35" s="54"/>
      <c r="F35" s="54"/>
      <c r="G35" s="54"/>
    </row>
    <row r="36" spans="2:7" ht="15.75" x14ac:dyDescent="0.25">
      <c r="B36" s="322" t="s">
        <v>110</v>
      </c>
      <c r="C36" s="324"/>
      <c r="D36" s="54"/>
      <c r="E36" s="54"/>
      <c r="F36" s="54"/>
      <c r="G36" s="54"/>
    </row>
    <row r="37" spans="2:7" ht="15.75" x14ac:dyDescent="0.25">
      <c r="B37" s="351" t="s">
        <v>111</v>
      </c>
      <c r="C37" s="324"/>
      <c r="D37" s="54"/>
      <c r="E37" s="54"/>
      <c r="F37" s="54"/>
      <c r="G37" s="54"/>
    </row>
    <row r="38" spans="2:7" ht="15.75" x14ac:dyDescent="0.25">
      <c r="B38" s="54" t="s">
        <v>113</v>
      </c>
      <c r="C38" s="54"/>
      <c r="D38" s="54"/>
      <c r="E38" s="54"/>
      <c r="F38" s="54"/>
      <c r="G38" s="54"/>
    </row>
    <row r="39" spans="2:7" ht="15.75" x14ac:dyDescent="0.25">
      <c r="B39" s="65"/>
      <c r="C39" s="65"/>
      <c r="D39" s="65"/>
      <c r="E39" s="65"/>
      <c r="F39" s="65"/>
      <c r="G39" s="62"/>
    </row>
    <row r="40" spans="2:7" ht="15.75" x14ac:dyDescent="0.25">
      <c r="B40" s="65"/>
      <c r="C40" s="65"/>
      <c r="D40" s="65"/>
      <c r="E40" s="65"/>
      <c r="F40" s="65"/>
      <c r="G40" s="62"/>
    </row>
    <row r="41" spans="2:7" ht="15.75" x14ac:dyDescent="0.25">
      <c r="B41" s="62"/>
      <c r="C41" s="62"/>
      <c r="D41" s="62"/>
      <c r="E41" s="62"/>
      <c r="F41" s="62"/>
      <c r="G41" s="62"/>
    </row>
    <row r="42" spans="2:7" ht="15.75" x14ac:dyDescent="0.25">
      <c r="B42" s="335" t="s">
        <v>72</v>
      </c>
      <c r="C42" s="335"/>
      <c r="D42" s="335"/>
      <c r="E42" s="335"/>
      <c r="F42" s="335"/>
      <c r="G42" s="335"/>
    </row>
    <row r="43" spans="2:7" ht="15.75" x14ac:dyDescent="0.25">
      <c r="B43" s="335" t="s">
        <v>73</v>
      </c>
      <c r="C43" s="335"/>
      <c r="D43" s="335"/>
      <c r="E43" s="335"/>
      <c r="F43" s="335"/>
      <c r="G43" s="335"/>
    </row>
    <row r="44" spans="2:7" ht="15.75" x14ac:dyDescent="0.25">
      <c r="B44" s="62"/>
      <c r="C44" s="62"/>
      <c r="D44" s="62"/>
      <c r="E44" s="62"/>
      <c r="F44" s="62"/>
      <c r="G44" s="62"/>
    </row>
    <row r="45" spans="2:7" ht="47.25" x14ac:dyDescent="0.25">
      <c r="B45" s="331" t="s">
        <v>74</v>
      </c>
      <c r="C45" s="352"/>
      <c r="D45" s="64" t="s">
        <v>75</v>
      </c>
      <c r="E45" s="63" t="s">
        <v>76</v>
      </c>
      <c r="F45" s="63" t="s">
        <v>77</v>
      </c>
      <c r="G45" s="63" t="s">
        <v>78</v>
      </c>
    </row>
    <row r="46" spans="2:7" ht="15.75" x14ac:dyDescent="0.25">
      <c r="B46" s="351" t="s">
        <v>79</v>
      </c>
      <c r="C46" s="324"/>
      <c r="D46" s="54"/>
      <c r="E46" s="54"/>
      <c r="F46" s="54"/>
      <c r="G46" s="54"/>
    </row>
    <row r="47" spans="2:7" ht="15.75" x14ac:dyDescent="0.25">
      <c r="B47" s="68"/>
      <c r="C47" s="39"/>
      <c r="D47" s="54"/>
      <c r="E47" s="54"/>
      <c r="F47" s="54"/>
      <c r="G47" s="54"/>
    </row>
    <row r="48" spans="2:7" ht="15.75" x14ac:dyDescent="0.25">
      <c r="B48" s="351" t="s">
        <v>80</v>
      </c>
      <c r="C48" s="324"/>
      <c r="D48" s="54"/>
      <c r="E48" s="54"/>
      <c r="F48" s="54"/>
      <c r="G48" s="54"/>
    </row>
    <row r="49" spans="2:7" ht="15.75" x14ac:dyDescent="0.25">
      <c r="B49" s="68"/>
      <c r="C49" s="39"/>
      <c r="D49" s="54"/>
      <c r="E49" s="54"/>
      <c r="F49" s="54"/>
      <c r="G49" s="54"/>
    </row>
    <row r="50" spans="2:7" ht="15.75" x14ac:dyDescent="0.25">
      <c r="B50" s="351" t="s">
        <v>81</v>
      </c>
      <c r="C50" s="324"/>
      <c r="D50" s="54"/>
      <c r="E50" s="54"/>
      <c r="F50" s="54"/>
      <c r="G50" s="54"/>
    </row>
    <row r="51" spans="2:7" ht="15.75" x14ac:dyDescent="0.25">
      <c r="B51" s="68"/>
      <c r="C51" s="39"/>
      <c r="D51" s="54"/>
      <c r="E51" s="54"/>
      <c r="F51" s="54"/>
      <c r="G51" s="54"/>
    </row>
    <row r="52" spans="2:7" ht="15.75" x14ac:dyDescent="0.25">
      <c r="B52" s="351" t="s">
        <v>82</v>
      </c>
      <c r="C52" s="324"/>
      <c r="D52" s="54"/>
      <c r="E52" s="54"/>
      <c r="F52" s="54"/>
      <c r="G52" s="54"/>
    </row>
    <row r="53" spans="2:7" ht="16.5" thickBot="1" x14ac:dyDescent="0.3">
      <c r="B53" s="70"/>
      <c r="C53" s="71"/>
      <c r="D53" s="71"/>
      <c r="E53" s="71"/>
      <c r="F53" s="71"/>
      <c r="G53" s="72"/>
    </row>
    <row r="54" spans="2:7" ht="15.75" x14ac:dyDescent="0.25">
      <c r="B54" s="69"/>
      <c r="C54" s="65"/>
      <c r="D54" s="65"/>
      <c r="E54" s="65"/>
      <c r="F54" s="65"/>
      <c r="G54" s="62"/>
    </row>
    <row r="55" spans="2:7" ht="15.75" x14ac:dyDescent="0.25">
      <c r="B55" s="343"/>
      <c r="C55" s="343"/>
      <c r="D55" s="343"/>
      <c r="E55" s="343"/>
      <c r="F55" s="343"/>
      <c r="G55" s="62"/>
    </row>
    <row r="56" spans="2:7" ht="15.75" x14ac:dyDescent="0.25">
      <c r="B56" s="346" t="s">
        <v>169</v>
      </c>
      <c r="C56" s="346"/>
      <c r="D56" s="346"/>
      <c r="E56" s="346"/>
      <c r="F56" s="346"/>
      <c r="G56" s="346"/>
    </row>
    <row r="57" spans="2:7" ht="15.75" x14ac:dyDescent="0.25">
      <c r="B57" s="346" t="s">
        <v>171</v>
      </c>
      <c r="C57" s="346"/>
      <c r="D57" s="346"/>
      <c r="E57" s="346"/>
      <c r="F57" s="346"/>
      <c r="G57" s="346"/>
    </row>
    <row r="58" spans="2:7" x14ac:dyDescent="0.25">
      <c r="B58" s="49"/>
      <c r="C58" s="40"/>
      <c r="D58" s="40"/>
      <c r="E58" s="40"/>
      <c r="F58" s="40"/>
    </row>
    <row r="59" spans="2:7" ht="15.75" x14ac:dyDescent="0.25">
      <c r="B59" s="66" t="s">
        <v>124</v>
      </c>
      <c r="C59" s="67"/>
      <c r="D59" s="67"/>
      <c r="E59" s="67"/>
      <c r="F59" s="67"/>
    </row>
    <row r="60" spans="2:7" ht="15.75" thickBot="1" x14ac:dyDescent="0.3">
      <c r="B60" s="49"/>
      <c r="C60" s="40"/>
      <c r="D60" s="40"/>
      <c r="E60" s="40"/>
      <c r="F60" s="40"/>
    </row>
    <row r="61" spans="2:7" x14ac:dyDescent="0.25">
      <c r="B61" s="327" t="s">
        <v>125</v>
      </c>
      <c r="C61" s="328"/>
      <c r="D61" s="347" t="s">
        <v>54</v>
      </c>
      <c r="E61" s="347" t="s">
        <v>126</v>
      </c>
      <c r="F61" s="347" t="s">
        <v>68</v>
      </c>
      <c r="G61" s="347" t="s">
        <v>57</v>
      </c>
    </row>
    <row r="62" spans="2:7" ht="15.75" thickBot="1" x14ac:dyDescent="0.3">
      <c r="B62" s="329"/>
      <c r="C62" s="330"/>
      <c r="D62" s="348"/>
      <c r="E62" s="348"/>
      <c r="F62" s="348"/>
      <c r="G62" s="348"/>
    </row>
    <row r="63" spans="2:7" ht="15.75" x14ac:dyDescent="0.25">
      <c r="B63" s="349" t="s">
        <v>127</v>
      </c>
      <c r="C63" s="328"/>
      <c r="D63" s="50"/>
      <c r="E63" s="50"/>
      <c r="F63" s="50"/>
      <c r="G63" s="50"/>
    </row>
    <row r="64" spans="2:7" ht="15.75" customHeight="1" thickBot="1" x14ac:dyDescent="0.3">
      <c r="B64" s="350"/>
      <c r="C64" s="330"/>
      <c r="D64" s="44"/>
      <c r="E64" s="44"/>
      <c r="F64" s="44"/>
      <c r="G64" s="44"/>
    </row>
    <row r="65" spans="2:7" ht="15.75" x14ac:dyDescent="0.25">
      <c r="B65" s="349" t="s">
        <v>128</v>
      </c>
      <c r="C65" s="328"/>
      <c r="D65" s="50"/>
      <c r="E65" s="50"/>
      <c r="F65" s="50"/>
      <c r="G65" s="50"/>
    </row>
    <row r="66" spans="2:7" ht="15.75" customHeight="1" thickBot="1" x14ac:dyDescent="0.3">
      <c r="B66" s="350"/>
      <c r="C66" s="330"/>
      <c r="D66" s="44"/>
      <c r="E66" s="44"/>
      <c r="F66" s="44"/>
      <c r="G66" s="44"/>
    </row>
    <row r="67" spans="2:7" ht="15.75" x14ac:dyDescent="0.25">
      <c r="B67" s="349"/>
      <c r="C67" s="328"/>
      <c r="D67" s="50"/>
      <c r="E67" s="50"/>
      <c r="F67" s="50"/>
      <c r="G67" s="50"/>
    </row>
    <row r="68" spans="2:7" ht="16.5" thickBot="1" x14ac:dyDescent="0.3">
      <c r="B68" s="325"/>
      <c r="C68" s="326"/>
      <c r="D68" s="47"/>
      <c r="E68" s="44"/>
      <c r="F68" s="44"/>
      <c r="G68" s="44"/>
    </row>
    <row r="69" spans="2:7" ht="16.5" thickBot="1" x14ac:dyDescent="0.3">
      <c r="B69" s="344" t="s">
        <v>129</v>
      </c>
      <c r="C69" s="345"/>
      <c r="D69" s="47"/>
      <c r="E69" s="47"/>
      <c r="F69" s="47"/>
      <c r="G69" s="47"/>
    </row>
    <row r="70" spans="2:7" ht="15.75" x14ac:dyDescent="0.25">
      <c r="G70" s="62"/>
    </row>
    <row r="71" spans="2:7" ht="15.75" x14ac:dyDescent="0.25">
      <c r="B71" s="65"/>
      <c r="C71" s="65"/>
      <c r="D71" s="65"/>
      <c r="E71" s="65"/>
      <c r="F71" s="65"/>
      <c r="G71" s="62"/>
    </row>
    <row r="72" spans="2:7" ht="15.75" x14ac:dyDescent="0.25">
      <c r="B72" s="62"/>
      <c r="C72" s="62"/>
      <c r="D72" s="62"/>
      <c r="E72" s="62"/>
      <c r="F72" s="62"/>
      <c r="G72" s="62"/>
    </row>
    <row r="73" spans="2:7" ht="15.75" x14ac:dyDescent="0.25">
      <c r="B73" s="335" t="s">
        <v>92</v>
      </c>
      <c r="C73" s="335"/>
      <c r="D73" s="335"/>
      <c r="E73" s="335"/>
      <c r="F73" s="335"/>
      <c r="G73" s="335"/>
    </row>
    <row r="74" spans="2:7" ht="15.75" x14ac:dyDescent="0.25">
      <c r="B74" s="335" t="s">
        <v>90</v>
      </c>
      <c r="C74" s="335"/>
      <c r="D74" s="335"/>
      <c r="E74" s="335"/>
      <c r="F74" s="335"/>
      <c r="G74" s="335"/>
    </row>
    <row r="75" spans="2:7" ht="15.75" x14ac:dyDescent="0.25">
      <c r="B75" s="62"/>
      <c r="C75" s="62"/>
      <c r="D75" s="62"/>
      <c r="E75" s="62"/>
      <c r="F75" s="62"/>
      <c r="G75" s="62"/>
    </row>
    <row r="76" spans="2:7" ht="15.75" x14ac:dyDescent="0.25">
      <c r="B76" s="333" t="s">
        <v>83</v>
      </c>
      <c r="C76" s="334"/>
      <c r="D76" s="334"/>
      <c r="E76" s="334"/>
      <c r="F76" s="324"/>
      <c r="G76" s="55" t="s">
        <v>64</v>
      </c>
    </row>
    <row r="77" spans="2:7" ht="15.75" x14ac:dyDescent="0.25">
      <c r="B77" s="322" t="s">
        <v>84</v>
      </c>
      <c r="C77" s="323"/>
      <c r="D77" s="323"/>
      <c r="E77" s="323"/>
      <c r="F77" s="324"/>
      <c r="G77" s="54"/>
    </row>
    <row r="78" spans="2:7" ht="15.75" x14ac:dyDescent="0.25">
      <c r="B78" s="322" t="s">
        <v>85</v>
      </c>
      <c r="C78" s="323"/>
      <c r="D78" s="323"/>
      <c r="E78" s="323"/>
      <c r="F78" s="324"/>
      <c r="G78" s="54"/>
    </row>
    <row r="79" spans="2:7" ht="15.75" x14ac:dyDescent="0.25">
      <c r="B79" s="322" t="s">
        <v>86</v>
      </c>
      <c r="C79" s="323"/>
      <c r="D79" s="323"/>
      <c r="E79" s="323"/>
      <c r="F79" s="324"/>
      <c r="G79" s="54"/>
    </row>
    <row r="80" spans="2:7" ht="15.75" x14ac:dyDescent="0.25">
      <c r="B80" s="322" t="s">
        <v>87</v>
      </c>
      <c r="C80" s="323"/>
      <c r="D80" s="323"/>
      <c r="E80" s="323"/>
      <c r="F80" s="324"/>
      <c r="G80" s="54"/>
    </row>
    <row r="81" spans="2:7" ht="15.75" x14ac:dyDescent="0.25">
      <c r="B81" s="322" t="s">
        <v>88</v>
      </c>
      <c r="C81" s="323"/>
      <c r="D81" s="323"/>
      <c r="E81" s="323"/>
      <c r="F81" s="324"/>
      <c r="G81" s="54"/>
    </row>
    <row r="82" spans="2:7" ht="15.75" x14ac:dyDescent="0.25">
      <c r="B82" s="322" t="s">
        <v>89</v>
      </c>
      <c r="C82" s="323"/>
      <c r="D82" s="323"/>
      <c r="E82" s="323"/>
      <c r="F82" s="324"/>
      <c r="G82" s="54"/>
    </row>
    <row r="83" spans="2:7" ht="15.75" x14ac:dyDescent="0.25">
      <c r="B83" s="333" t="s">
        <v>91</v>
      </c>
      <c r="C83" s="334"/>
      <c r="D83" s="334"/>
      <c r="E83" s="334"/>
      <c r="F83" s="324"/>
      <c r="G83" s="54"/>
    </row>
    <row r="84" spans="2:7" ht="15.75" x14ac:dyDescent="0.25">
      <c r="B84" s="62"/>
      <c r="C84" s="62"/>
      <c r="D84" s="62"/>
      <c r="E84" s="62"/>
      <c r="F84" s="62"/>
      <c r="G84" s="62"/>
    </row>
    <row r="85" spans="2:7" ht="15.75" x14ac:dyDescent="0.25">
      <c r="B85" s="62"/>
      <c r="C85" s="62"/>
      <c r="D85" s="62"/>
      <c r="E85" s="62"/>
      <c r="F85" s="62"/>
      <c r="G85" s="62"/>
    </row>
    <row r="86" spans="2:7" ht="15.75" x14ac:dyDescent="0.25">
      <c r="B86" s="62"/>
      <c r="C86" s="62"/>
      <c r="D86" s="62"/>
      <c r="E86" s="62"/>
      <c r="F86" s="62"/>
      <c r="G86" s="62"/>
    </row>
    <row r="87" spans="2:7" ht="15.75" x14ac:dyDescent="0.25">
      <c r="B87" s="335" t="s">
        <v>98</v>
      </c>
      <c r="C87" s="335"/>
      <c r="D87" s="335"/>
      <c r="E87" s="335"/>
      <c r="F87" s="335"/>
      <c r="G87" s="335"/>
    </row>
    <row r="88" spans="2:7" ht="15.75" x14ac:dyDescent="0.25">
      <c r="B88" s="335" t="s">
        <v>93</v>
      </c>
      <c r="C88" s="335"/>
      <c r="D88" s="335"/>
      <c r="E88" s="335"/>
      <c r="F88" s="335"/>
      <c r="G88" s="335"/>
    </row>
    <row r="89" spans="2:7" ht="15.75" x14ac:dyDescent="0.25">
      <c r="B89" s="62"/>
      <c r="C89" s="62"/>
      <c r="D89" s="62"/>
      <c r="E89" s="62"/>
      <c r="F89" s="62"/>
      <c r="G89" s="62"/>
    </row>
    <row r="90" spans="2:7" ht="47.25" x14ac:dyDescent="0.25">
      <c r="B90" s="331" t="s">
        <v>94</v>
      </c>
      <c r="C90" s="332"/>
      <c r="D90" s="332"/>
      <c r="E90" s="332"/>
      <c r="F90" s="324"/>
      <c r="G90" s="53" t="s">
        <v>95</v>
      </c>
    </row>
    <row r="91" spans="2:7" ht="15.75" x14ac:dyDescent="0.25">
      <c r="B91" s="322"/>
      <c r="C91" s="323"/>
      <c r="D91" s="323"/>
      <c r="E91" s="323"/>
      <c r="F91" s="324"/>
      <c r="G91" s="54"/>
    </row>
    <row r="92" spans="2:7" ht="15.75" x14ac:dyDescent="0.25">
      <c r="B92" s="322"/>
      <c r="C92" s="323"/>
      <c r="D92" s="323"/>
      <c r="E92" s="323"/>
      <c r="F92" s="324"/>
      <c r="G92" s="54"/>
    </row>
    <row r="93" spans="2:7" ht="15.75" x14ac:dyDescent="0.25">
      <c r="B93" s="322"/>
      <c r="C93" s="323"/>
      <c r="D93" s="323"/>
      <c r="E93" s="323"/>
      <c r="F93" s="324"/>
      <c r="G93" s="54"/>
    </row>
    <row r="94" spans="2:7" ht="15.75" x14ac:dyDescent="0.25">
      <c r="B94" s="322"/>
      <c r="C94" s="323"/>
      <c r="D94" s="323"/>
      <c r="E94" s="323"/>
      <c r="F94" s="324"/>
      <c r="G94" s="54"/>
    </row>
    <row r="95" spans="2:7" ht="15.75" x14ac:dyDescent="0.25">
      <c r="B95" s="322"/>
      <c r="C95" s="323"/>
      <c r="D95" s="323"/>
      <c r="E95" s="323"/>
      <c r="F95" s="324"/>
      <c r="G95" s="54"/>
    </row>
    <row r="96" spans="2:7" ht="16.5" thickBot="1" x14ac:dyDescent="0.3">
      <c r="B96" s="337" t="s">
        <v>96</v>
      </c>
      <c r="C96" s="338"/>
      <c r="D96" s="338"/>
      <c r="E96" s="338"/>
      <c r="F96" s="339"/>
      <c r="G96" s="73"/>
    </row>
    <row r="97" spans="2:7" ht="15.75" x14ac:dyDescent="0.25">
      <c r="B97" s="336" t="s">
        <v>97</v>
      </c>
      <c r="C97" s="336"/>
      <c r="D97" s="336"/>
      <c r="E97" s="336"/>
      <c r="F97" s="65"/>
      <c r="G97" s="65"/>
    </row>
    <row r="98" spans="2:7" ht="15.75" x14ac:dyDescent="0.25">
      <c r="B98" s="62"/>
      <c r="C98" s="62"/>
      <c r="D98" s="62"/>
      <c r="E98" s="62"/>
      <c r="F98" s="62"/>
    </row>
    <row r="99" spans="2:7" ht="15.75" x14ac:dyDescent="0.25">
      <c r="B99" s="62"/>
      <c r="C99" s="62"/>
      <c r="D99" s="62"/>
      <c r="E99" s="62"/>
      <c r="F99" s="62"/>
    </row>
    <row r="100" spans="2:7" ht="15.75" x14ac:dyDescent="0.25">
      <c r="B100" s="335" t="s">
        <v>170</v>
      </c>
      <c r="C100" s="335"/>
      <c r="D100" s="335"/>
      <c r="E100" s="335"/>
      <c r="F100" s="335"/>
      <c r="G100" s="335"/>
    </row>
    <row r="101" spans="2:7" ht="15.75" x14ac:dyDescent="0.25">
      <c r="B101" s="335" t="s">
        <v>99</v>
      </c>
      <c r="C101" s="335"/>
      <c r="D101" s="335"/>
      <c r="E101" s="335"/>
      <c r="F101" s="335"/>
      <c r="G101" s="335"/>
    </row>
    <row r="102" spans="2:7" ht="15.75" x14ac:dyDescent="0.25">
      <c r="B102" s="62"/>
      <c r="C102" s="62"/>
      <c r="D102" s="62"/>
      <c r="E102" s="62"/>
      <c r="F102" s="62"/>
    </row>
    <row r="103" spans="2:7" ht="15.75" x14ac:dyDescent="0.25">
      <c r="B103" s="333" t="s">
        <v>100</v>
      </c>
      <c r="C103" s="334"/>
      <c r="D103" s="334"/>
      <c r="E103" s="334"/>
      <c r="F103" s="324"/>
      <c r="G103" s="55" t="s">
        <v>57</v>
      </c>
    </row>
    <row r="104" spans="2:7" ht="15.75" x14ac:dyDescent="0.25">
      <c r="B104" s="322" t="s">
        <v>101</v>
      </c>
      <c r="C104" s="323"/>
      <c r="D104" s="323"/>
      <c r="E104" s="323"/>
      <c r="F104" s="324"/>
      <c r="G104" s="54"/>
    </row>
    <row r="105" spans="2:7" ht="15.75" x14ac:dyDescent="0.25">
      <c r="B105" s="322" t="s">
        <v>102</v>
      </c>
      <c r="C105" s="323"/>
      <c r="D105" s="323"/>
      <c r="E105" s="323"/>
      <c r="F105" s="324"/>
      <c r="G105" s="54"/>
    </row>
    <row r="106" spans="2:7" ht="15.75" x14ac:dyDescent="0.25">
      <c r="B106" s="322" t="s">
        <v>103</v>
      </c>
      <c r="C106" s="323"/>
      <c r="D106" s="323"/>
      <c r="E106" s="323"/>
      <c r="F106" s="324"/>
      <c r="G106" s="54"/>
    </row>
    <row r="107" spans="2:7" ht="15.75" x14ac:dyDescent="0.25">
      <c r="B107" s="322" t="s">
        <v>104</v>
      </c>
      <c r="C107" s="323"/>
      <c r="D107" s="323"/>
      <c r="E107" s="323"/>
      <c r="F107" s="324"/>
      <c r="G107" s="54"/>
    </row>
    <row r="108" spans="2:7" ht="15.75" x14ac:dyDescent="0.25">
      <c r="B108" s="322" t="s">
        <v>172</v>
      </c>
      <c r="C108" s="342"/>
      <c r="D108" s="342"/>
      <c r="E108" s="342"/>
      <c r="F108" s="324"/>
      <c r="G108" s="54"/>
    </row>
    <row r="109" spans="2:7" ht="15.75" x14ac:dyDescent="0.25">
      <c r="B109" s="322" t="s">
        <v>105</v>
      </c>
      <c r="C109" s="323"/>
      <c r="D109" s="323"/>
      <c r="E109" s="323"/>
      <c r="F109" s="324"/>
      <c r="G109" s="54"/>
    </row>
    <row r="110" spans="2:7" ht="15.75" x14ac:dyDescent="0.25">
      <c r="B110" s="322" t="s">
        <v>106</v>
      </c>
      <c r="C110" s="323"/>
      <c r="D110" s="323"/>
      <c r="E110" s="323"/>
      <c r="F110" s="324"/>
      <c r="G110" s="54"/>
    </row>
    <row r="111" spans="2:7" ht="15.75" x14ac:dyDescent="0.25">
      <c r="B111" s="340" t="s">
        <v>57</v>
      </c>
      <c r="C111" s="341"/>
      <c r="D111" s="341"/>
      <c r="E111" s="341"/>
      <c r="F111" s="324"/>
      <c r="G111" s="54"/>
    </row>
  </sheetData>
  <mergeCells count="69">
    <mergeCell ref="B7:G7"/>
    <mergeCell ref="B8:G8"/>
    <mergeCell ref="B16:G16"/>
    <mergeCell ref="B17:G17"/>
    <mergeCell ref="B37:C37"/>
    <mergeCell ref="B10:C10"/>
    <mergeCell ref="B11:C11"/>
    <mergeCell ref="B12:C12"/>
    <mergeCell ref="B13:C13"/>
    <mergeCell ref="B32:C32"/>
    <mergeCell ref="B33:C33"/>
    <mergeCell ref="B34:C34"/>
    <mergeCell ref="B29:G29"/>
    <mergeCell ref="B30:G30"/>
    <mergeCell ref="B35:C35"/>
    <mergeCell ref="B36:C36"/>
    <mergeCell ref="B66:C66"/>
    <mergeCell ref="B67:C67"/>
    <mergeCell ref="B42:G42"/>
    <mergeCell ref="B43:G43"/>
    <mergeCell ref="B50:C50"/>
    <mergeCell ref="B52:C52"/>
    <mergeCell ref="B45:C45"/>
    <mergeCell ref="B46:C46"/>
    <mergeCell ref="B48:C48"/>
    <mergeCell ref="B64:C64"/>
    <mergeCell ref="B65:C65"/>
    <mergeCell ref="B96:F96"/>
    <mergeCell ref="B103:F103"/>
    <mergeCell ref="B111:F111"/>
    <mergeCell ref="B108:F108"/>
    <mergeCell ref="B55:F55"/>
    <mergeCell ref="B69:C69"/>
    <mergeCell ref="B56:G56"/>
    <mergeCell ref="B57:G57"/>
    <mergeCell ref="B76:F76"/>
    <mergeCell ref="D61:D62"/>
    <mergeCell ref="E61:E62"/>
    <mergeCell ref="F61:F62"/>
    <mergeCell ref="G61:G62"/>
    <mergeCell ref="B73:G73"/>
    <mergeCell ref="B74:G74"/>
    <mergeCell ref="B63:C63"/>
    <mergeCell ref="B91:F91"/>
    <mergeCell ref="B92:F92"/>
    <mergeCell ref="B93:F93"/>
    <mergeCell ref="B94:F94"/>
    <mergeCell ref="B95:F95"/>
    <mergeCell ref="B106:F106"/>
    <mergeCell ref="B107:F107"/>
    <mergeCell ref="B109:F109"/>
    <mergeCell ref="B110:F110"/>
    <mergeCell ref="B105:F105"/>
    <mergeCell ref="B104:F104"/>
    <mergeCell ref="B68:C68"/>
    <mergeCell ref="B61:C62"/>
    <mergeCell ref="B90:F90"/>
    <mergeCell ref="B77:F77"/>
    <mergeCell ref="B78:F78"/>
    <mergeCell ref="B79:F79"/>
    <mergeCell ref="B80:F80"/>
    <mergeCell ref="B81:F81"/>
    <mergeCell ref="B82:F82"/>
    <mergeCell ref="B83:F83"/>
    <mergeCell ref="B87:G87"/>
    <mergeCell ref="B88:G88"/>
    <mergeCell ref="B97:E97"/>
    <mergeCell ref="B100:G100"/>
    <mergeCell ref="B101:G101"/>
  </mergeCells>
  <pageMargins left="0.7" right="0.7" top="0.75" bottom="0.75" header="0.3" footer="0.3"/>
  <pageSetup paperSize="126" scale="87" orientation="portrait" r:id="rId1"/>
  <rowBreaks count="2" manualBreakCount="2">
    <brk id="40" max="7" man="1"/>
    <brk id="85" max="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22"/>
  <sheetViews>
    <sheetView workbookViewId="0">
      <selection activeCell="H24" sqref="H24"/>
    </sheetView>
  </sheetViews>
  <sheetFormatPr baseColWidth="10" defaultRowHeight="15" x14ac:dyDescent="0.25"/>
  <cols>
    <col min="3" max="3" width="4.28515625" customWidth="1"/>
    <col min="4" max="4" width="29.140625" customWidth="1"/>
    <col min="9" max="9" width="12.5703125" customWidth="1"/>
    <col min="10" max="10" width="13.7109375" customWidth="1"/>
    <col min="11" max="11" width="14" customWidth="1"/>
  </cols>
  <sheetData>
    <row r="2" spans="3:11" ht="19.5" x14ac:dyDescent="0.35">
      <c r="C2" s="192"/>
      <c r="D2" s="193"/>
      <c r="E2" s="193"/>
      <c r="F2" s="193"/>
      <c r="G2" s="193"/>
      <c r="H2" s="193"/>
      <c r="I2" s="193"/>
      <c r="J2" s="193"/>
      <c r="K2" s="193"/>
    </row>
    <row r="3" spans="3:11" ht="15.75" x14ac:dyDescent="0.25">
      <c r="C3" s="192" t="s">
        <v>246</v>
      </c>
      <c r="D3" s="194"/>
      <c r="E3" s="194"/>
      <c r="F3" s="194"/>
      <c r="G3" s="194"/>
      <c r="H3" s="194"/>
      <c r="I3" s="194"/>
      <c r="J3" s="194"/>
      <c r="K3" s="194"/>
    </row>
    <row r="4" spans="3:11" ht="15.75" x14ac:dyDescent="0.25">
      <c r="C4" s="192" t="s">
        <v>247</v>
      </c>
      <c r="D4" s="194"/>
      <c r="E4" s="194"/>
      <c r="F4" s="194"/>
      <c r="G4" s="194"/>
      <c r="H4" s="194"/>
      <c r="I4" s="194"/>
      <c r="J4" s="194"/>
      <c r="K4" s="194"/>
    </row>
    <row r="5" spans="3:11" ht="15.75" x14ac:dyDescent="0.25">
      <c r="C5" s="192" t="s">
        <v>248</v>
      </c>
      <c r="D5" s="194"/>
      <c r="E5" s="194"/>
      <c r="F5" s="194"/>
      <c r="G5" s="194"/>
      <c r="H5" s="194"/>
      <c r="I5" s="194"/>
      <c r="J5" s="194"/>
      <c r="K5" s="194"/>
    </row>
    <row r="6" spans="3:11" ht="16.5" thickBot="1" x14ac:dyDescent="0.3">
      <c r="C6" s="192"/>
      <c r="D6" s="194"/>
      <c r="E6" s="194"/>
      <c r="F6" s="194"/>
      <c r="G6" s="194"/>
      <c r="H6" s="194"/>
      <c r="I6" s="194"/>
      <c r="J6" s="194"/>
      <c r="K6" s="194"/>
    </row>
    <row r="7" spans="3:11" ht="16.5" thickTop="1" x14ac:dyDescent="0.25">
      <c r="C7" s="195"/>
      <c r="D7" s="196"/>
      <c r="E7" s="197" t="s">
        <v>68</v>
      </c>
      <c r="F7" s="198" t="s">
        <v>249</v>
      </c>
      <c r="G7" s="199" t="s">
        <v>249</v>
      </c>
      <c r="H7" s="198" t="s">
        <v>250</v>
      </c>
      <c r="I7" s="200" t="s">
        <v>251</v>
      </c>
      <c r="J7" s="201" t="s">
        <v>219</v>
      </c>
      <c r="K7" s="201" t="s">
        <v>219</v>
      </c>
    </row>
    <row r="8" spans="3:11" x14ac:dyDescent="0.25">
      <c r="C8" s="420" t="s">
        <v>252</v>
      </c>
      <c r="D8" s="421"/>
      <c r="E8" s="202"/>
      <c r="F8" s="203" t="s">
        <v>253</v>
      </c>
      <c r="G8" s="204" t="s">
        <v>64</v>
      </c>
      <c r="H8" s="203" t="s">
        <v>254</v>
      </c>
      <c r="I8" s="205" t="s">
        <v>255</v>
      </c>
      <c r="J8" s="206" t="s">
        <v>256</v>
      </c>
      <c r="K8" s="207" t="s">
        <v>257</v>
      </c>
    </row>
    <row r="9" spans="3:11" ht="16.5" thickBot="1" x14ac:dyDescent="0.3">
      <c r="C9" s="208"/>
      <c r="D9" s="209"/>
      <c r="E9" s="210" t="s">
        <v>258</v>
      </c>
      <c r="F9" s="211" t="s">
        <v>259</v>
      </c>
      <c r="G9" s="212" t="s">
        <v>260</v>
      </c>
      <c r="H9" s="211" t="s">
        <v>261</v>
      </c>
      <c r="I9" s="213" t="s">
        <v>262</v>
      </c>
      <c r="J9" s="214" t="s">
        <v>263</v>
      </c>
      <c r="K9" s="215" t="s">
        <v>264</v>
      </c>
    </row>
    <row r="10" spans="3:11" ht="15.75" thickTop="1" x14ac:dyDescent="0.25">
      <c r="C10" s="422" t="s">
        <v>265</v>
      </c>
      <c r="D10" s="423"/>
      <c r="E10" s="216"/>
      <c r="F10" s="217"/>
      <c r="G10" s="217"/>
      <c r="H10" s="217"/>
      <c r="I10" s="218"/>
      <c r="J10" s="219"/>
      <c r="K10" s="220"/>
    </row>
    <row r="11" spans="3:11" x14ac:dyDescent="0.25">
      <c r="C11" s="221"/>
      <c r="D11" s="222" t="s">
        <v>266</v>
      </c>
      <c r="E11" s="230">
        <v>3</v>
      </c>
      <c r="F11" s="223">
        <v>49500</v>
      </c>
      <c r="G11" s="223">
        <f>+F11*E11</f>
        <v>148500</v>
      </c>
      <c r="H11" s="224">
        <v>10</v>
      </c>
      <c r="I11" s="225">
        <v>30000</v>
      </c>
      <c r="J11" s="226">
        <f>+((G11-I11)/H11)/12</f>
        <v>987.5</v>
      </c>
      <c r="K11" s="226">
        <f>+J11*12</f>
        <v>11850</v>
      </c>
    </row>
    <row r="12" spans="3:11" x14ac:dyDescent="0.25">
      <c r="C12" s="221"/>
      <c r="D12" s="222" t="s">
        <v>267</v>
      </c>
      <c r="E12" s="230">
        <v>3</v>
      </c>
      <c r="F12" s="223">
        <v>58050</v>
      </c>
      <c r="G12" s="223">
        <f>+F12*E12</f>
        <v>174150</v>
      </c>
      <c r="H12" s="224">
        <v>10</v>
      </c>
      <c r="I12" s="225">
        <v>16505</v>
      </c>
      <c r="J12" s="226">
        <f>+((G12-I12)/H12)/12</f>
        <v>1313.7083333333333</v>
      </c>
      <c r="K12" s="226">
        <f>+J12*12</f>
        <v>15764.5</v>
      </c>
    </row>
    <row r="13" spans="3:11" x14ac:dyDescent="0.25">
      <c r="C13" s="221"/>
      <c r="D13" s="222" t="s">
        <v>268</v>
      </c>
      <c r="E13" s="230">
        <v>3</v>
      </c>
      <c r="F13" s="223">
        <v>54650</v>
      </c>
      <c r="G13" s="223">
        <f>+F13*E13</f>
        <v>163950</v>
      </c>
      <c r="H13" s="224">
        <v>10</v>
      </c>
      <c r="I13" s="225">
        <v>20425</v>
      </c>
      <c r="J13" s="226">
        <f>+((G13-I13)/H13)/12</f>
        <v>1196.0416666666667</v>
      </c>
      <c r="K13" s="226">
        <f>+J13*12</f>
        <v>14352.5</v>
      </c>
    </row>
    <row r="14" spans="3:11" x14ac:dyDescent="0.25">
      <c r="C14" s="221"/>
      <c r="D14" s="222" t="s">
        <v>269</v>
      </c>
      <c r="E14" s="230">
        <v>4</v>
      </c>
      <c r="F14" s="223">
        <v>14600</v>
      </c>
      <c r="G14" s="223">
        <f>+F14*E14</f>
        <v>58400</v>
      </c>
      <c r="H14" s="224">
        <v>10</v>
      </c>
      <c r="I14" s="225">
        <v>4000</v>
      </c>
      <c r="J14" s="226">
        <f>+((G14-I14)/H14)/12</f>
        <v>453.33333333333331</v>
      </c>
      <c r="K14" s="226">
        <f>+J14*12</f>
        <v>5440</v>
      </c>
    </row>
    <row r="15" spans="3:11" ht="15.75" x14ac:dyDescent="0.25">
      <c r="C15" s="424" t="s">
        <v>270</v>
      </c>
      <c r="D15" s="425"/>
      <c r="E15" s="230"/>
      <c r="F15" s="223"/>
      <c r="G15" s="223"/>
      <c r="H15" s="224"/>
      <c r="I15" s="225"/>
      <c r="J15" s="227"/>
      <c r="K15" s="228">
        <f>SUM(K11:K14)</f>
        <v>47407</v>
      </c>
    </row>
    <row r="16" spans="3:11" x14ac:dyDescent="0.25">
      <c r="C16" s="241"/>
      <c r="D16" s="242"/>
      <c r="E16" s="230"/>
      <c r="F16" s="223"/>
      <c r="G16" s="223"/>
      <c r="H16" s="229"/>
      <c r="I16" s="225"/>
      <c r="J16" s="227"/>
      <c r="K16" s="243"/>
    </row>
    <row r="17" spans="3:11" x14ac:dyDescent="0.25">
      <c r="C17" s="426" t="s">
        <v>271</v>
      </c>
      <c r="D17" s="427"/>
      <c r="E17" s="230"/>
      <c r="F17" s="223"/>
      <c r="G17" s="223"/>
      <c r="H17" s="229"/>
      <c r="I17" s="225"/>
      <c r="J17" s="227"/>
      <c r="K17" s="226"/>
    </row>
    <row r="18" spans="3:11" x14ac:dyDescent="0.25">
      <c r="C18" s="221"/>
      <c r="D18" s="222" t="s">
        <v>272</v>
      </c>
      <c r="E18" s="230">
        <v>6</v>
      </c>
      <c r="F18" s="223">
        <v>800000</v>
      </c>
      <c r="G18" s="223">
        <f>+F18*E18</f>
        <v>4800000</v>
      </c>
      <c r="H18" s="229">
        <v>10</v>
      </c>
      <c r="I18" s="225">
        <v>585595</v>
      </c>
      <c r="J18" s="227">
        <f>+((G18-I18)/H18)/12</f>
        <v>35120.041666666664</v>
      </c>
      <c r="K18" s="226">
        <f>+J18*12</f>
        <v>421440.5</v>
      </c>
    </row>
    <row r="19" spans="3:11" x14ac:dyDescent="0.25">
      <c r="C19" s="221"/>
      <c r="D19" s="244" t="s">
        <v>273</v>
      </c>
      <c r="E19" s="230">
        <v>5</v>
      </c>
      <c r="F19" s="223">
        <v>45000</v>
      </c>
      <c r="G19" s="223">
        <f>+F19*E19</f>
        <v>225000</v>
      </c>
      <c r="H19" s="229">
        <v>10</v>
      </c>
      <c r="I19" s="225">
        <v>14720</v>
      </c>
      <c r="J19" s="227">
        <f>+((G19-I19)/H19)/12</f>
        <v>1752.3333333333333</v>
      </c>
      <c r="K19" s="226">
        <f>+J19*12</f>
        <v>21028</v>
      </c>
    </row>
    <row r="20" spans="3:11" ht="15.75" x14ac:dyDescent="0.25">
      <c r="C20" s="424" t="s">
        <v>270</v>
      </c>
      <c r="D20" s="425"/>
      <c r="E20" s="230"/>
      <c r="F20" s="245"/>
      <c r="G20" s="246"/>
      <c r="H20" s="247"/>
      <c r="I20" s="248"/>
      <c r="J20" s="249"/>
      <c r="K20" s="250">
        <f>SUM(K18:K19)</f>
        <v>442468.5</v>
      </c>
    </row>
    <row r="21" spans="3:11" ht="16.5" thickBot="1" x14ac:dyDescent="0.3">
      <c r="C21" s="231"/>
      <c r="D21" s="232"/>
      <c r="E21" s="233"/>
      <c r="F21" s="234"/>
      <c r="G21" s="235"/>
      <c r="H21" s="236"/>
      <c r="I21" s="237"/>
      <c r="J21" s="238"/>
      <c r="K21" s="239"/>
    </row>
    <row r="22" spans="3:11" ht="15.75" thickTop="1" x14ac:dyDescent="0.25">
      <c r="E22" s="240"/>
      <c r="F22" s="240"/>
      <c r="G22" s="240"/>
      <c r="H22" s="240"/>
      <c r="I22" s="240"/>
      <c r="J22" s="240"/>
      <c r="K22" s="240"/>
    </row>
  </sheetData>
  <mergeCells count="5">
    <mergeCell ref="C8:D8"/>
    <mergeCell ref="C10:D10"/>
    <mergeCell ref="C15:D15"/>
    <mergeCell ref="C17:D17"/>
    <mergeCell ref="C20:D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01"/>
  <sheetViews>
    <sheetView topLeftCell="A84" zoomScaleNormal="100" zoomScaleSheetLayoutView="100" workbookViewId="0">
      <selection activeCell="B90" sqref="B90:G101"/>
    </sheetView>
  </sheetViews>
  <sheetFormatPr baseColWidth="10" defaultRowHeight="15" x14ac:dyDescent="0.25"/>
  <cols>
    <col min="1" max="1" width="3" customWidth="1"/>
    <col min="2" max="2" width="24.7109375" customWidth="1"/>
    <col min="3" max="3" width="11.5703125" customWidth="1"/>
    <col min="5" max="5" width="14.42578125" customWidth="1"/>
  </cols>
  <sheetData>
    <row r="3" spans="2:6" ht="33.75" x14ac:dyDescent="0.5">
      <c r="B3" s="287" t="s">
        <v>302</v>
      </c>
    </row>
    <row r="8" spans="2:6" ht="15.75" x14ac:dyDescent="0.25">
      <c r="B8" s="346" t="s">
        <v>114</v>
      </c>
      <c r="C8" s="346"/>
      <c r="D8" s="346"/>
      <c r="E8" s="346"/>
      <c r="F8" s="346"/>
    </row>
    <row r="9" spans="2:6" ht="15.75" x14ac:dyDescent="0.25">
      <c r="B9" s="346" t="s">
        <v>115</v>
      </c>
      <c r="C9" s="346"/>
      <c r="D9" s="346"/>
      <c r="E9" s="346"/>
      <c r="F9" s="346"/>
    </row>
    <row r="10" spans="2:6" x14ac:dyDescent="0.25">
      <c r="B10" s="49"/>
      <c r="C10" s="40"/>
      <c r="D10" s="40"/>
      <c r="E10" s="40"/>
      <c r="F10" s="40"/>
    </row>
    <row r="11" spans="2:6" x14ac:dyDescent="0.25">
      <c r="B11" s="362" t="s">
        <v>116</v>
      </c>
      <c r="C11" s="363"/>
      <c r="D11" s="363"/>
      <c r="E11" s="363"/>
      <c r="F11" s="363"/>
    </row>
    <row r="12" spans="2:6" ht="15.75" thickBot="1" x14ac:dyDescent="0.3">
      <c r="B12" s="49"/>
      <c r="C12" s="40"/>
      <c r="D12" s="40"/>
      <c r="E12" s="40"/>
      <c r="F12" s="40"/>
    </row>
    <row r="13" spans="2:6" ht="48" thickBot="1" x14ac:dyDescent="0.3">
      <c r="B13" s="364" t="s">
        <v>121</v>
      </c>
      <c r="C13" s="365"/>
      <c r="D13" s="43" t="s">
        <v>117</v>
      </c>
      <c r="E13" s="43" t="s">
        <v>118</v>
      </c>
      <c r="F13" s="43" t="s">
        <v>119</v>
      </c>
    </row>
    <row r="14" spans="2:6" ht="15.75" thickBot="1" x14ac:dyDescent="0.3">
      <c r="B14" s="366"/>
      <c r="C14" s="367"/>
      <c r="D14" s="51"/>
      <c r="E14" s="51"/>
      <c r="F14" s="51"/>
    </row>
    <row r="15" spans="2:6" ht="15.75" thickBot="1" x14ac:dyDescent="0.3">
      <c r="B15" s="366"/>
      <c r="C15" s="367"/>
      <c r="D15" s="51"/>
      <c r="E15" s="51"/>
      <c r="F15" s="51"/>
    </row>
    <row r="16" spans="2:6" ht="15.75" thickBot="1" x14ac:dyDescent="0.3">
      <c r="B16" s="366"/>
      <c r="C16" s="367"/>
      <c r="D16" s="51"/>
      <c r="E16" s="51"/>
      <c r="F16" s="51"/>
    </row>
    <row r="17" spans="2:7" ht="16.5" thickBot="1" x14ac:dyDescent="0.3">
      <c r="B17" s="364" t="s">
        <v>120</v>
      </c>
      <c r="C17" s="365"/>
      <c r="D17" s="52"/>
      <c r="E17" s="52"/>
      <c r="F17" s="52"/>
    </row>
    <row r="18" spans="2:7" x14ac:dyDescent="0.25">
      <c r="B18" s="37"/>
    </row>
    <row r="19" spans="2:7" ht="15.75" x14ac:dyDescent="0.25">
      <c r="B19" s="346" t="s">
        <v>122</v>
      </c>
      <c r="C19" s="346"/>
      <c r="D19" s="346"/>
      <c r="E19" s="346"/>
      <c r="F19" s="346"/>
      <c r="G19" s="360"/>
    </row>
    <row r="20" spans="2:7" ht="15.75" x14ac:dyDescent="0.25">
      <c r="B20" s="346" t="s">
        <v>123</v>
      </c>
      <c r="C20" s="346"/>
      <c r="D20" s="346"/>
      <c r="E20" s="346"/>
      <c r="F20" s="346"/>
      <c r="G20" s="360"/>
    </row>
    <row r="21" spans="2:7" x14ac:dyDescent="0.25">
      <c r="B21" s="49"/>
      <c r="C21" s="40"/>
      <c r="D21" s="40"/>
      <c r="E21" s="40"/>
      <c r="F21" s="40"/>
    </row>
    <row r="22" spans="2:7" ht="15.75" x14ac:dyDescent="0.25">
      <c r="B22" s="371" t="s">
        <v>124</v>
      </c>
      <c r="C22" s="363"/>
      <c r="D22" s="363"/>
      <c r="E22" s="363"/>
      <c r="F22" s="363"/>
    </row>
    <row r="23" spans="2:7" ht="15.75" thickBot="1" x14ac:dyDescent="0.3">
      <c r="B23" s="49"/>
      <c r="C23" s="40"/>
      <c r="D23" s="40"/>
      <c r="E23" s="40"/>
      <c r="F23" s="40"/>
    </row>
    <row r="24" spans="2:7" ht="15" customHeight="1" x14ac:dyDescent="0.25">
      <c r="B24" s="327" t="s">
        <v>125</v>
      </c>
      <c r="C24" s="328"/>
      <c r="D24" s="347" t="s">
        <v>54</v>
      </c>
      <c r="E24" s="56" t="s">
        <v>126</v>
      </c>
      <c r="F24" s="56" t="s">
        <v>68</v>
      </c>
      <c r="G24" s="56" t="s">
        <v>57</v>
      </c>
    </row>
    <row r="25" spans="2:7" ht="15.75" customHeight="1" thickBot="1" x14ac:dyDescent="0.3">
      <c r="B25" s="361"/>
      <c r="C25" s="330"/>
      <c r="D25" s="370"/>
      <c r="E25" s="48"/>
      <c r="F25" s="48"/>
      <c r="G25" s="48"/>
    </row>
    <row r="26" spans="2:7" ht="15" customHeight="1" x14ac:dyDescent="0.25">
      <c r="B26" s="349" t="s">
        <v>127</v>
      </c>
      <c r="C26" s="328"/>
      <c r="D26" s="368"/>
      <c r="E26" s="50"/>
      <c r="F26" s="50"/>
      <c r="G26" s="50"/>
    </row>
    <row r="27" spans="2:7" ht="15.75" customHeight="1" thickBot="1" x14ac:dyDescent="0.3">
      <c r="B27" s="350"/>
      <c r="C27" s="330"/>
      <c r="D27" s="369"/>
      <c r="E27" s="44"/>
      <c r="F27" s="44"/>
      <c r="G27" s="44"/>
    </row>
    <row r="28" spans="2:7" ht="15" customHeight="1" x14ac:dyDescent="0.25">
      <c r="B28" s="349" t="s">
        <v>128</v>
      </c>
      <c r="C28" s="328"/>
      <c r="D28" s="368"/>
      <c r="E28" s="50"/>
      <c r="F28" s="50"/>
      <c r="G28" s="50"/>
    </row>
    <row r="29" spans="2:7" ht="15.75" customHeight="1" thickBot="1" x14ac:dyDescent="0.3">
      <c r="B29" s="350"/>
      <c r="C29" s="330"/>
      <c r="D29" s="369"/>
      <c r="E29" s="44"/>
      <c r="F29" s="44"/>
      <c r="G29" s="44"/>
    </row>
    <row r="30" spans="2:7" ht="15" customHeight="1" x14ac:dyDescent="0.25">
      <c r="B30" s="349"/>
      <c r="C30" s="328"/>
      <c r="D30" s="368"/>
      <c r="E30" s="50"/>
      <c r="F30" s="50"/>
      <c r="G30" s="50"/>
    </row>
    <row r="31" spans="2:7" ht="15.75" customHeight="1" thickBot="1" x14ac:dyDescent="0.3">
      <c r="B31" s="350"/>
      <c r="C31" s="330"/>
      <c r="D31" s="369"/>
      <c r="E31" s="44"/>
      <c r="F31" s="44"/>
      <c r="G31" s="44"/>
    </row>
    <row r="32" spans="2:7" ht="16.5" thickBot="1" x14ac:dyDescent="0.3">
      <c r="B32" s="344" t="s">
        <v>129</v>
      </c>
      <c r="C32" s="345"/>
      <c r="D32" s="47"/>
      <c r="E32" s="47"/>
      <c r="F32" s="47"/>
      <c r="G32" s="47"/>
    </row>
    <row r="34" spans="1:7" ht="15.75" x14ac:dyDescent="0.25">
      <c r="B34" s="346" t="s">
        <v>130</v>
      </c>
      <c r="C34" s="346"/>
      <c r="D34" s="346"/>
      <c r="E34" s="346"/>
      <c r="F34" s="346"/>
      <c r="G34" s="360"/>
    </row>
    <row r="35" spans="1:7" ht="34.15" customHeight="1" x14ac:dyDescent="0.25">
      <c r="B35" s="346" t="s">
        <v>131</v>
      </c>
      <c r="C35" s="373"/>
      <c r="D35" s="373"/>
      <c r="E35" s="373"/>
      <c r="F35" s="373"/>
      <c r="G35" s="353"/>
    </row>
    <row r="36" spans="1:7" x14ac:dyDescent="0.25">
      <c r="B36" s="362" t="s">
        <v>132</v>
      </c>
      <c r="C36" s="363"/>
      <c r="D36" s="363"/>
      <c r="E36" s="363"/>
      <c r="F36" s="363"/>
    </row>
    <row r="37" spans="1:7" ht="15.75" thickBot="1" x14ac:dyDescent="0.3">
      <c r="B37" s="49"/>
      <c r="C37" s="40"/>
      <c r="D37" s="40"/>
      <c r="E37" s="40"/>
      <c r="F37" s="40"/>
    </row>
    <row r="38" spans="1:7" ht="15" customHeight="1" x14ac:dyDescent="0.25">
      <c r="B38" s="327" t="s">
        <v>133</v>
      </c>
      <c r="C38" s="328"/>
      <c r="D38" s="347" t="s">
        <v>54</v>
      </c>
      <c r="E38" s="56" t="s">
        <v>126</v>
      </c>
      <c r="F38" s="56" t="s">
        <v>68</v>
      </c>
      <c r="G38" s="56" t="s">
        <v>57</v>
      </c>
    </row>
    <row r="39" spans="1:7" ht="15.75" customHeight="1" thickBot="1" x14ac:dyDescent="0.3">
      <c r="B39" s="361"/>
      <c r="C39" s="330"/>
      <c r="D39" s="370"/>
      <c r="E39" s="48"/>
      <c r="F39" s="48"/>
      <c r="G39" s="48"/>
    </row>
    <row r="40" spans="1:7" ht="15.75" x14ac:dyDescent="0.25">
      <c r="A40" s="57"/>
      <c r="B40" s="356"/>
      <c r="C40" s="357"/>
      <c r="D40" s="58"/>
      <c r="E40" s="58"/>
      <c r="F40" s="58"/>
      <c r="G40" s="60"/>
    </row>
    <row r="41" spans="1:7" ht="15.75" x14ac:dyDescent="0.25">
      <c r="A41" s="57"/>
      <c r="B41" s="358" t="s">
        <v>134</v>
      </c>
      <c r="C41" s="359"/>
      <c r="D41" s="59"/>
      <c r="E41" s="59"/>
      <c r="F41" s="59"/>
      <c r="G41" s="61"/>
    </row>
    <row r="42" spans="1:7" ht="15.75" x14ac:dyDescent="0.25">
      <c r="A42" s="57"/>
      <c r="B42" s="358" t="s">
        <v>135</v>
      </c>
      <c r="C42" s="359"/>
      <c r="D42" s="59"/>
      <c r="E42" s="59"/>
      <c r="F42" s="59"/>
      <c r="G42" s="61"/>
    </row>
    <row r="43" spans="1:7" ht="15.75" x14ac:dyDescent="0.25">
      <c r="A43" s="57"/>
      <c r="B43" s="358" t="s">
        <v>136</v>
      </c>
      <c r="C43" s="359"/>
      <c r="D43" s="59"/>
      <c r="E43" s="59"/>
      <c r="F43" s="59"/>
      <c r="G43" s="61"/>
    </row>
    <row r="44" spans="1:7" ht="15.75" x14ac:dyDescent="0.25">
      <c r="A44" s="57"/>
      <c r="B44" s="358"/>
      <c r="C44" s="359"/>
      <c r="D44" s="59"/>
      <c r="E44" s="59"/>
      <c r="F44" s="59"/>
      <c r="G44" s="61"/>
    </row>
    <row r="45" spans="1:7" ht="16.5" thickBot="1" x14ac:dyDescent="0.3">
      <c r="B45" s="361" t="s">
        <v>137</v>
      </c>
      <c r="C45" s="372"/>
      <c r="D45" s="47"/>
      <c r="E45" s="47"/>
      <c r="F45" s="47"/>
      <c r="G45" s="47"/>
    </row>
    <row r="49" spans="2:7" ht="15.75" x14ac:dyDescent="0.25">
      <c r="B49" s="346" t="s">
        <v>138</v>
      </c>
      <c r="C49" s="346"/>
      <c r="D49" s="346"/>
      <c r="E49" s="346"/>
      <c r="F49" s="346"/>
      <c r="G49" s="360"/>
    </row>
    <row r="50" spans="2:7" ht="15.75" x14ac:dyDescent="0.25">
      <c r="B50" s="346" t="s">
        <v>139</v>
      </c>
      <c r="C50" s="346"/>
      <c r="D50" s="346"/>
      <c r="E50" s="346"/>
      <c r="F50" s="346"/>
      <c r="G50" s="360"/>
    </row>
    <row r="51" spans="2:7" ht="15.75" x14ac:dyDescent="0.25">
      <c r="B51" s="46"/>
      <c r="C51" s="46"/>
      <c r="D51" s="46"/>
      <c r="E51" s="46"/>
      <c r="F51" s="46"/>
    </row>
    <row r="52" spans="2:7" ht="16.5" thickBot="1" x14ac:dyDescent="0.3">
      <c r="B52" s="41" t="s">
        <v>140</v>
      </c>
      <c r="C52" s="40"/>
      <c r="D52" s="40"/>
      <c r="E52" s="40"/>
      <c r="F52" s="40"/>
    </row>
    <row r="53" spans="2:7" ht="44.65" customHeight="1" x14ac:dyDescent="0.25">
      <c r="B53" s="347" t="s">
        <v>141</v>
      </c>
      <c r="C53" s="376" t="s">
        <v>142</v>
      </c>
      <c r="D53" s="377"/>
      <c r="E53" s="377"/>
      <c r="F53" s="378"/>
      <c r="G53" s="347" t="s">
        <v>168</v>
      </c>
    </row>
    <row r="54" spans="2:7" ht="15.75" customHeight="1" thickBot="1" x14ac:dyDescent="0.3">
      <c r="B54" s="370"/>
      <c r="C54" s="379"/>
      <c r="D54" s="380"/>
      <c r="E54" s="380"/>
      <c r="F54" s="381"/>
      <c r="G54" s="370"/>
    </row>
    <row r="55" spans="2:7" ht="16.5" thickBot="1" x14ac:dyDescent="0.3">
      <c r="B55" s="44" t="s">
        <v>143</v>
      </c>
      <c r="C55" s="374"/>
      <c r="D55" s="375"/>
      <c r="E55" s="375"/>
      <c r="F55" s="345"/>
      <c r="G55" s="47"/>
    </row>
    <row r="56" spans="2:7" ht="16.5" thickBot="1" x14ac:dyDescent="0.3">
      <c r="B56" s="44" t="s">
        <v>144</v>
      </c>
      <c r="C56" s="374"/>
      <c r="D56" s="375"/>
      <c r="E56" s="375"/>
      <c r="F56" s="345"/>
      <c r="G56" s="47"/>
    </row>
    <row r="57" spans="2:7" ht="16.5" thickBot="1" x14ac:dyDescent="0.3">
      <c r="B57" s="44" t="s">
        <v>145</v>
      </c>
      <c r="C57" s="374"/>
      <c r="D57" s="375"/>
      <c r="E57" s="375"/>
      <c r="F57" s="345"/>
      <c r="G57" s="47"/>
    </row>
    <row r="58" spans="2:7" ht="32.25" thickBot="1" x14ac:dyDescent="0.3">
      <c r="B58" s="48" t="s">
        <v>146</v>
      </c>
      <c r="C58" s="374"/>
      <c r="D58" s="375"/>
      <c r="E58" s="375"/>
      <c r="F58" s="345"/>
      <c r="G58" s="47"/>
    </row>
    <row r="60" spans="2:7" ht="15.75" x14ac:dyDescent="0.25">
      <c r="B60" s="346" t="s">
        <v>147</v>
      </c>
      <c r="C60" s="346"/>
      <c r="D60" s="346"/>
      <c r="E60" s="346"/>
      <c r="F60" s="346"/>
      <c r="G60" s="346"/>
    </row>
    <row r="61" spans="2:7" ht="15.75" x14ac:dyDescent="0.25">
      <c r="B61" s="346" t="s">
        <v>160</v>
      </c>
      <c r="C61" s="346"/>
      <c r="D61" s="346"/>
      <c r="E61" s="346"/>
      <c r="F61" s="346"/>
      <c r="G61" s="346"/>
    </row>
    <row r="62" spans="2:7" ht="15.75" x14ac:dyDescent="0.25">
      <c r="B62" s="382" t="s">
        <v>148</v>
      </c>
      <c r="C62" s="382"/>
      <c r="D62" s="382"/>
      <c r="E62" s="40"/>
      <c r="F62" s="40"/>
      <c r="G62" s="40"/>
    </row>
    <row r="63" spans="2:7" ht="16.5" thickBot="1" x14ac:dyDescent="0.3">
      <c r="B63" s="41"/>
      <c r="C63" s="40"/>
      <c r="D63" s="40"/>
      <c r="E63" s="40"/>
      <c r="F63" s="40"/>
      <c r="G63" s="40"/>
    </row>
    <row r="64" spans="2:7" ht="16.5" thickBot="1" x14ac:dyDescent="0.3">
      <c r="B64" s="42" t="s">
        <v>149</v>
      </c>
      <c r="C64" s="43" t="s">
        <v>2</v>
      </c>
      <c r="D64" s="43" t="s">
        <v>3</v>
      </c>
      <c r="E64" s="43" t="s">
        <v>34</v>
      </c>
      <c r="F64" s="43" t="s">
        <v>150</v>
      </c>
      <c r="G64" s="43" t="s">
        <v>64</v>
      </c>
    </row>
    <row r="65" spans="2:7" ht="16.5" thickBot="1" x14ac:dyDescent="0.3">
      <c r="B65" s="44" t="s">
        <v>151</v>
      </c>
      <c r="C65" s="45"/>
      <c r="D65" s="45"/>
      <c r="E65" s="45"/>
      <c r="F65" s="45"/>
      <c r="G65" s="45"/>
    </row>
    <row r="66" spans="2:7" ht="32.25" thickBot="1" x14ac:dyDescent="0.3">
      <c r="B66" s="44" t="s">
        <v>152</v>
      </c>
      <c r="C66" s="45"/>
      <c r="D66" s="45"/>
      <c r="E66" s="45"/>
      <c r="F66" s="45"/>
      <c r="G66" s="45"/>
    </row>
    <row r="68" spans="2:7" ht="15.75" x14ac:dyDescent="0.25">
      <c r="B68" s="346" t="s">
        <v>153</v>
      </c>
      <c r="C68" s="346"/>
      <c r="D68" s="346"/>
      <c r="E68" s="346"/>
      <c r="F68" s="346"/>
      <c r="G68" s="346"/>
    </row>
    <row r="69" spans="2:7" ht="15.75" x14ac:dyDescent="0.25">
      <c r="B69" s="346" t="s">
        <v>161</v>
      </c>
      <c r="C69" s="346"/>
      <c r="D69" s="346"/>
      <c r="E69" s="346"/>
      <c r="F69" s="346"/>
      <c r="G69" s="346"/>
    </row>
    <row r="70" spans="2:7" ht="15.75" x14ac:dyDescent="0.25">
      <c r="B70" s="382" t="s">
        <v>148</v>
      </c>
      <c r="C70" s="382"/>
      <c r="D70" s="382"/>
      <c r="E70" s="40"/>
      <c r="F70" s="40"/>
      <c r="G70" s="40"/>
    </row>
    <row r="71" spans="2:7" ht="16.5" thickBot="1" x14ac:dyDescent="0.3">
      <c r="B71" s="41"/>
      <c r="C71" s="40"/>
      <c r="D71" s="40"/>
      <c r="E71" s="40"/>
      <c r="F71" s="40"/>
      <c r="G71" s="40"/>
    </row>
    <row r="72" spans="2:7" ht="16.5" thickBot="1" x14ac:dyDescent="0.3">
      <c r="B72" s="42" t="s">
        <v>149</v>
      </c>
      <c r="C72" s="43" t="s">
        <v>2</v>
      </c>
      <c r="D72" s="43" t="s">
        <v>3</v>
      </c>
      <c r="E72" s="43" t="s">
        <v>34</v>
      </c>
      <c r="F72" s="43" t="s">
        <v>150</v>
      </c>
      <c r="G72" s="43" t="s">
        <v>64</v>
      </c>
    </row>
    <row r="73" spans="2:7" ht="16.5" thickBot="1" x14ac:dyDescent="0.3">
      <c r="B73" s="44" t="s">
        <v>151</v>
      </c>
      <c r="C73" s="45"/>
      <c r="D73" s="45"/>
      <c r="E73" s="45"/>
      <c r="F73" s="45"/>
      <c r="G73" s="45"/>
    </row>
    <row r="74" spans="2:7" ht="21" customHeight="1" thickBot="1" x14ac:dyDescent="0.3">
      <c r="B74" s="44" t="s">
        <v>152</v>
      </c>
      <c r="C74" s="45"/>
      <c r="D74" s="45"/>
      <c r="E74" s="45"/>
      <c r="F74" s="45"/>
      <c r="G74" s="45"/>
    </row>
    <row r="78" spans="2:7" ht="15.75" x14ac:dyDescent="0.25">
      <c r="B78" s="346" t="s">
        <v>162</v>
      </c>
      <c r="C78" s="346"/>
      <c r="D78" s="346"/>
      <c r="E78" s="346"/>
      <c r="F78" s="346"/>
      <c r="G78" s="346"/>
    </row>
    <row r="79" spans="2:7" ht="15.75" x14ac:dyDescent="0.25">
      <c r="B79" s="346" t="s">
        <v>164</v>
      </c>
      <c r="C79" s="346"/>
      <c r="D79" s="346"/>
      <c r="E79" s="346"/>
      <c r="F79" s="346"/>
      <c r="G79" s="346"/>
    </row>
    <row r="81" spans="2:7" ht="47.25" x14ac:dyDescent="0.25">
      <c r="B81" s="333" t="s">
        <v>154</v>
      </c>
      <c r="C81" s="334"/>
      <c r="D81" s="334"/>
      <c r="E81" s="334"/>
      <c r="F81" s="324"/>
      <c r="G81" s="53" t="s">
        <v>157</v>
      </c>
    </row>
    <row r="82" spans="2:7" ht="15.75" x14ac:dyDescent="0.25">
      <c r="B82" s="322"/>
      <c r="C82" s="323"/>
      <c r="D82" s="323"/>
      <c r="E82" s="323"/>
      <c r="F82" s="324"/>
      <c r="G82" s="54"/>
    </row>
    <row r="83" spans="2:7" ht="15.75" x14ac:dyDescent="0.25">
      <c r="B83" s="322"/>
      <c r="C83" s="323"/>
      <c r="D83" s="323"/>
      <c r="E83" s="323"/>
      <c r="F83" s="324"/>
      <c r="G83" s="54"/>
    </row>
    <row r="84" spans="2:7" ht="15.75" x14ac:dyDescent="0.25">
      <c r="B84" s="322"/>
      <c r="C84" s="323"/>
      <c r="D84" s="323"/>
      <c r="E84" s="323"/>
      <c r="F84" s="324"/>
      <c r="G84" s="54"/>
    </row>
    <row r="85" spans="2:7" ht="15.75" x14ac:dyDescent="0.25">
      <c r="B85" s="333" t="s">
        <v>155</v>
      </c>
      <c r="C85" s="334"/>
      <c r="D85" s="334"/>
      <c r="E85" s="334"/>
      <c r="F85" s="324"/>
      <c r="G85" s="54"/>
    </row>
    <row r="86" spans="2:7" x14ac:dyDescent="0.25">
      <c r="B86" s="38" t="s">
        <v>156</v>
      </c>
    </row>
    <row r="90" spans="2:7" ht="15.75" x14ac:dyDescent="0.25">
      <c r="B90" s="335" t="s">
        <v>167</v>
      </c>
      <c r="C90" s="335"/>
      <c r="D90" s="335"/>
      <c r="E90" s="335"/>
      <c r="F90" s="335"/>
      <c r="G90" s="335"/>
    </row>
    <row r="91" spans="2:7" ht="15.75" x14ac:dyDescent="0.25">
      <c r="B91" s="335" t="s">
        <v>166</v>
      </c>
      <c r="C91" s="335"/>
      <c r="D91" s="335"/>
      <c r="E91" s="335"/>
      <c r="F91" s="335"/>
      <c r="G91" s="335"/>
    </row>
    <row r="93" spans="2:7" ht="15.75" x14ac:dyDescent="0.25">
      <c r="B93" s="333" t="s">
        <v>100</v>
      </c>
      <c r="C93" s="334"/>
      <c r="D93" s="334"/>
      <c r="E93" s="334"/>
      <c r="F93" s="324"/>
      <c r="G93" s="55" t="s">
        <v>57</v>
      </c>
    </row>
    <row r="94" spans="2:7" ht="15.75" x14ac:dyDescent="0.25">
      <c r="B94" s="322" t="s">
        <v>115</v>
      </c>
      <c r="C94" s="323"/>
      <c r="D94" s="323"/>
      <c r="E94" s="323"/>
      <c r="F94" s="324"/>
      <c r="G94" s="54"/>
    </row>
    <row r="95" spans="2:7" ht="15.75" x14ac:dyDescent="0.25">
      <c r="B95" s="322" t="s">
        <v>159</v>
      </c>
      <c r="C95" s="323"/>
      <c r="D95" s="323"/>
      <c r="E95" s="323"/>
      <c r="F95" s="324"/>
      <c r="G95" s="54"/>
    </row>
    <row r="96" spans="2:7" ht="15.75" x14ac:dyDescent="0.25">
      <c r="B96" s="322" t="s">
        <v>161</v>
      </c>
      <c r="C96" s="323"/>
      <c r="D96" s="323"/>
      <c r="E96" s="323"/>
      <c r="F96" s="324"/>
      <c r="G96" s="54"/>
    </row>
    <row r="97" spans="2:7" ht="15.75" x14ac:dyDescent="0.25">
      <c r="B97" s="322" t="s">
        <v>158</v>
      </c>
      <c r="C97" s="323"/>
      <c r="D97" s="323"/>
      <c r="E97" s="323"/>
      <c r="F97" s="324"/>
      <c r="G97" s="54"/>
    </row>
    <row r="98" spans="2:7" ht="15.75" x14ac:dyDescent="0.25">
      <c r="B98" s="322" t="s">
        <v>139</v>
      </c>
      <c r="C98" s="323"/>
      <c r="D98" s="323"/>
      <c r="E98" s="323"/>
      <c r="F98" s="324"/>
      <c r="G98" s="54"/>
    </row>
    <row r="99" spans="2:7" ht="15.75" x14ac:dyDescent="0.25">
      <c r="B99" s="322" t="s">
        <v>163</v>
      </c>
      <c r="C99" s="323"/>
      <c r="D99" s="323"/>
      <c r="E99" s="323"/>
      <c r="F99" s="324"/>
      <c r="G99" s="54"/>
    </row>
    <row r="100" spans="2:7" ht="15.75" x14ac:dyDescent="0.25">
      <c r="B100" s="322" t="s">
        <v>165</v>
      </c>
      <c r="C100" s="323"/>
      <c r="D100" s="323"/>
      <c r="E100" s="323"/>
      <c r="F100" s="324"/>
      <c r="G100" s="54"/>
    </row>
    <row r="101" spans="2:7" ht="15.75" x14ac:dyDescent="0.25">
      <c r="B101" s="340" t="s">
        <v>57</v>
      </c>
      <c r="C101" s="341"/>
      <c r="D101" s="341"/>
      <c r="E101" s="341"/>
      <c r="F101" s="324"/>
      <c r="G101" s="54"/>
    </row>
  </sheetData>
  <mergeCells count="64">
    <mergeCell ref="B97:F97"/>
    <mergeCell ref="B98:F98"/>
    <mergeCell ref="B99:F99"/>
    <mergeCell ref="B100:F100"/>
    <mergeCell ref="B101:F101"/>
    <mergeCell ref="B93:F93"/>
    <mergeCell ref="B94:F94"/>
    <mergeCell ref="B95:F95"/>
    <mergeCell ref="B96:F96"/>
    <mergeCell ref="B90:G90"/>
    <mergeCell ref="B91:G91"/>
    <mergeCell ref="B79:G79"/>
    <mergeCell ref="B53:B54"/>
    <mergeCell ref="B50:G50"/>
    <mergeCell ref="B61:G61"/>
    <mergeCell ref="B60:G60"/>
    <mergeCell ref="C58:F58"/>
    <mergeCell ref="G53:G54"/>
    <mergeCell ref="C53:F54"/>
    <mergeCell ref="C55:F55"/>
    <mergeCell ref="C56:F56"/>
    <mergeCell ref="C57:F57"/>
    <mergeCell ref="B62:D62"/>
    <mergeCell ref="B68:G68"/>
    <mergeCell ref="B69:G69"/>
    <mergeCell ref="B70:D70"/>
    <mergeCell ref="B78:G78"/>
    <mergeCell ref="B15:C15"/>
    <mergeCell ref="B16:C16"/>
    <mergeCell ref="B17:C17"/>
    <mergeCell ref="B49:G49"/>
    <mergeCell ref="D26:D27"/>
    <mergeCell ref="D24:D25"/>
    <mergeCell ref="D38:D39"/>
    <mergeCell ref="B38:C39"/>
    <mergeCell ref="B36:F36"/>
    <mergeCell ref="B22:F22"/>
    <mergeCell ref="D28:D29"/>
    <mergeCell ref="D30:D31"/>
    <mergeCell ref="B19:G19"/>
    <mergeCell ref="B20:G20"/>
    <mergeCell ref="B45:C45"/>
    <mergeCell ref="B35:G35"/>
    <mergeCell ref="B9:F9"/>
    <mergeCell ref="B8:F8"/>
    <mergeCell ref="B11:F11"/>
    <mergeCell ref="B13:C13"/>
    <mergeCell ref="B14:C14"/>
    <mergeCell ref="B81:F81"/>
    <mergeCell ref="B82:F82"/>
    <mergeCell ref="B83:F83"/>
    <mergeCell ref="B84:F84"/>
    <mergeCell ref="B85:F85"/>
    <mergeCell ref="B34:G34"/>
    <mergeCell ref="B24:C25"/>
    <mergeCell ref="B26:C27"/>
    <mergeCell ref="B28:C29"/>
    <mergeCell ref="B30:C31"/>
    <mergeCell ref="B32:C32"/>
    <mergeCell ref="B40:C40"/>
    <mergeCell ref="B41:C41"/>
    <mergeCell ref="B42:C42"/>
    <mergeCell ref="B43:C43"/>
    <mergeCell ref="B44:C44"/>
  </mergeCells>
  <pageMargins left="0.7" right="0.7" top="0.75" bottom="0.75" header="0.3" footer="0.3"/>
  <pageSetup paperSize="126" scale="90" orientation="portrait" r:id="rId1"/>
  <rowBreaks count="1" manualBreakCount="1">
    <brk id="67" max="7" man="1"/>
  </rowBreaks>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P42"/>
  <sheetViews>
    <sheetView topLeftCell="A19" workbookViewId="0">
      <selection activeCell="F20" sqref="F20"/>
    </sheetView>
  </sheetViews>
  <sheetFormatPr baseColWidth="10" defaultRowHeight="15" x14ac:dyDescent="0.25"/>
  <cols>
    <col min="1" max="1" width="1.7109375" customWidth="1"/>
    <col min="2" max="2" width="2.140625" customWidth="1"/>
    <col min="3" max="3" width="34.42578125" customWidth="1"/>
    <col min="4" max="4" width="15.42578125" bestFit="1" customWidth="1"/>
    <col min="5" max="5" width="12.7109375" bestFit="1" customWidth="1"/>
  </cols>
  <sheetData>
    <row r="1" spans="3:16" x14ac:dyDescent="0.25">
      <c r="C1" s="373" t="s">
        <v>42</v>
      </c>
      <c r="D1" s="373"/>
      <c r="E1" s="373"/>
      <c r="F1" s="373"/>
      <c r="G1" s="373"/>
      <c r="H1" s="373"/>
      <c r="I1" s="373"/>
      <c r="J1" s="373"/>
      <c r="K1" s="373"/>
      <c r="L1" s="373"/>
      <c r="M1" s="373"/>
      <c r="N1" s="373"/>
    </row>
    <row r="2" spans="3:16" x14ac:dyDescent="0.25">
      <c r="C2" s="353" t="s">
        <v>28</v>
      </c>
      <c r="D2" s="353"/>
      <c r="E2" s="353"/>
      <c r="F2" s="353"/>
      <c r="G2" s="353"/>
      <c r="H2" s="353"/>
      <c r="I2" s="353"/>
      <c r="J2" s="353"/>
      <c r="K2" s="353"/>
      <c r="L2" s="353"/>
      <c r="M2" s="353"/>
      <c r="N2" s="353"/>
    </row>
    <row r="4" spans="3:16" x14ac:dyDescent="0.25">
      <c r="C4" s="360" t="s">
        <v>29</v>
      </c>
      <c r="D4" s="360"/>
      <c r="E4" s="360"/>
      <c r="F4" s="360"/>
      <c r="G4" s="360"/>
      <c r="H4" s="360"/>
      <c r="I4" s="360"/>
      <c r="J4" s="360"/>
      <c r="K4" s="360"/>
      <c r="L4" s="360"/>
      <c r="M4" s="360"/>
      <c r="N4" s="360"/>
    </row>
    <row r="5" spans="3:16" x14ac:dyDescent="0.25">
      <c r="C5" s="360" t="s">
        <v>30</v>
      </c>
      <c r="D5" s="360"/>
      <c r="E5" s="360"/>
      <c r="F5" s="360"/>
      <c r="G5" s="360"/>
      <c r="H5" s="360"/>
      <c r="I5" s="360"/>
      <c r="J5" s="360"/>
      <c r="K5" s="360"/>
      <c r="L5" s="360"/>
      <c r="M5" s="360"/>
      <c r="N5" s="360"/>
    </row>
    <row r="6" spans="3:16" x14ac:dyDescent="0.25">
      <c r="C6" s="385" t="s">
        <v>31</v>
      </c>
      <c r="D6" s="385"/>
      <c r="E6" s="385"/>
      <c r="F6" s="385"/>
      <c r="G6" s="385"/>
      <c r="H6" s="385"/>
      <c r="I6" s="385"/>
      <c r="J6" s="385"/>
      <c r="K6" s="385"/>
      <c r="L6" s="385"/>
      <c r="M6" s="385"/>
      <c r="N6" s="385"/>
    </row>
    <row r="7" spans="3:16" x14ac:dyDescent="0.25">
      <c r="C7" s="5" t="s">
        <v>0</v>
      </c>
      <c r="D7" s="5" t="s">
        <v>1</v>
      </c>
      <c r="E7" s="5" t="s">
        <v>2</v>
      </c>
      <c r="F7" s="5" t="s">
        <v>3</v>
      </c>
      <c r="G7" s="5" t="s">
        <v>34</v>
      </c>
      <c r="H7" s="5" t="s">
        <v>35</v>
      </c>
      <c r="I7" s="5" t="s">
        <v>36</v>
      </c>
      <c r="J7" s="5" t="s">
        <v>37</v>
      </c>
      <c r="K7" s="5" t="s">
        <v>38</v>
      </c>
      <c r="L7" s="5" t="s">
        <v>39</v>
      </c>
      <c r="M7" s="5" t="s">
        <v>26</v>
      </c>
      <c r="N7" s="5" t="s">
        <v>27</v>
      </c>
    </row>
    <row r="8" spans="3:16" ht="24.75" customHeight="1" x14ac:dyDescent="0.25">
      <c r="C8" s="4" t="s">
        <v>274</v>
      </c>
      <c r="D8" s="10">
        <v>0</v>
      </c>
      <c r="E8" s="10">
        <f>SUM(E9:E11)</f>
        <v>415000</v>
      </c>
      <c r="F8" s="10">
        <f t="shared" ref="F8:N8" si="0">SUM(F9:F11)</f>
        <v>415000</v>
      </c>
      <c r="G8" s="10">
        <f>SUM(G9:G11)</f>
        <v>415000</v>
      </c>
      <c r="H8" s="10">
        <f>SUM(H9:H11)</f>
        <v>415000</v>
      </c>
      <c r="I8" s="10">
        <f>SUM(I9:I11)</f>
        <v>415000</v>
      </c>
      <c r="J8" s="10">
        <f>SUM(J9:J11)</f>
        <v>415000</v>
      </c>
      <c r="K8" s="10">
        <f>SUM(K9:K11)</f>
        <v>415000</v>
      </c>
      <c r="L8" s="10">
        <f t="shared" si="0"/>
        <v>415000</v>
      </c>
      <c r="M8" s="10">
        <f t="shared" si="0"/>
        <v>415000</v>
      </c>
      <c r="N8" s="10">
        <f t="shared" si="0"/>
        <v>415000</v>
      </c>
      <c r="O8" s="28"/>
      <c r="P8" s="29"/>
    </row>
    <row r="9" spans="3:16" x14ac:dyDescent="0.25">
      <c r="C9" s="2" t="s">
        <v>8</v>
      </c>
      <c r="D9" s="6"/>
      <c r="E9" s="7">
        <v>375000</v>
      </c>
      <c r="F9" s="7">
        <v>375000</v>
      </c>
      <c r="G9" s="7">
        <v>375000</v>
      </c>
      <c r="H9" s="7">
        <v>375000</v>
      </c>
      <c r="I9" s="7">
        <v>375000</v>
      </c>
      <c r="J9" s="7">
        <v>375000</v>
      </c>
      <c r="K9" s="7">
        <v>375000</v>
      </c>
      <c r="L9" s="7">
        <v>375000</v>
      </c>
      <c r="M9" s="7">
        <v>375000</v>
      </c>
      <c r="N9" s="7">
        <v>375000</v>
      </c>
    </row>
    <row r="10" spans="3:16" x14ac:dyDescent="0.25">
      <c r="C10" s="2" t="s">
        <v>9</v>
      </c>
      <c r="D10" s="6"/>
      <c r="E10" s="7">
        <v>20000</v>
      </c>
      <c r="F10" s="7">
        <v>20000</v>
      </c>
      <c r="G10" s="7">
        <v>20000</v>
      </c>
      <c r="H10" s="7">
        <v>20000</v>
      </c>
      <c r="I10" s="7">
        <v>20000</v>
      </c>
      <c r="J10" s="7">
        <v>20000</v>
      </c>
      <c r="K10" s="7">
        <v>20000</v>
      </c>
      <c r="L10" s="7">
        <v>20000</v>
      </c>
      <c r="M10" s="7">
        <v>20000</v>
      </c>
      <c r="N10" s="7">
        <v>20000</v>
      </c>
    </row>
    <row r="11" spans="3:16" x14ac:dyDescent="0.25">
      <c r="C11" s="2" t="s">
        <v>10</v>
      </c>
      <c r="D11" s="6"/>
      <c r="E11" s="7">
        <v>20000</v>
      </c>
      <c r="F11" s="7">
        <v>20000</v>
      </c>
      <c r="G11" s="7">
        <v>20000</v>
      </c>
      <c r="H11" s="7">
        <v>20000</v>
      </c>
      <c r="I11" s="7">
        <v>20000</v>
      </c>
      <c r="J11" s="7">
        <v>20000</v>
      </c>
      <c r="K11" s="7">
        <v>20000</v>
      </c>
      <c r="L11" s="7">
        <v>20000</v>
      </c>
      <c r="M11" s="7">
        <v>20000</v>
      </c>
      <c r="N11" s="7">
        <v>20000</v>
      </c>
    </row>
    <row r="12" spans="3:16" x14ac:dyDescent="0.25">
      <c r="C12" s="4" t="s">
        <v>5</v>
      </c>
      <c r="D12" s="8"/>
      <c r="E12" s="10">
        <f>+E13+E23</f>
        <v>264000</v>
      </c>
      <c r="F12" s="10">
        <f t="shared" ref="F12:N12" si="1">+F13+F23</f>
        <v>264000</v>
      </c>
      <c r="G12" s="10">
        <f t="shared" si="1"/>
        <v>264000</v>
      </c>
      <c r="H12" s="10">
        <f t="shared" si="1"/>
        <v>264000</v>
      </c>
      <c r="I12" s="10">
        <f t="shared" si="1"/>
        <v>264000</v>
      </c>
      <c r="J12" s="10">
        <f t="shared" si="1"/>
        <v>264000</v>
      </c>
      <c r="K12" s="10">
        <f t="shared" si="1"/>
        <v>264000</v>
      </c>
      <c r="L12" s="10">
        <f t="shared" si="1"/>
        <v>264000</v>
      </c>
      <c r="M12" s="10">
        <f t="shared" si="1"/>
        <v>264000</v>
      </c>
      <c r="N12" s="10">
        <f t="shared" si="1"/>
        <v>264000</v>
      </c>
    </row>
    <row r="13" spans="3:16" x14ac:dyDescent="0.25">
      <c r="C13" s="75" t="s">
        <v>173</v>
      </c>
      <c r="D13" s="19">
        <f>SUM(D14:D22)</f>
        <v>365200</v>
      </c>
      <c r="E13" s="7"/>
      <c r="F13" s="6"/>
      <c r="G13" s="18"/>
      <c r="H13" s="6"/>
      <c r="I13" s="18"/>
      <c r="J13" s="6"/>
      <c r="K13" s="18"/>
      <c r="L13" s="7"/>
      <c r="M13" s="6"/>
      <c r="N13" s="7"/>
    </row>
    <row r="14" spans="3:16" x14ac:dyDescent="0.25">
      <c r="C14" s="2" t="s">
        <v>11</v>
      </c>
      <c r="D14" s="20">
        <v>60000</v>
      </c>
      <c r="E14" s="7"/>
      <c r="F14" s="6"/>
      <c r="G14" s="7"/>
      <c r="H14" s="6"/>
      <c r="I14" s="7"/>
      <c r="J14" s="6"/>
      <c r="K14" s="7"/>
      <c r="L14" s="7"/>
      <c r="M14" s="6"/>
      <c r="N14" s="7"/>
    </row>
    <row r="15" spans="3:16" x14ac:dyDescent="0.25">
      <c r="C15" s="2" t="s">
        <v>12</v>
      </c>
      <c r="D15" s="20">
        <v>22000</v>
      </c>
      <c r="E15" s="7"/>
      <c r="F15" s="6"/>
      <c r="G15" s="7"/>
      <c r="H15" s="6"/>
      <c r="I15" s="7"/>
      <c r="J15" s="6"/>
      <c r="K15" s="7"/>
      <c r="L15" s="7"/>
      <c r="M15" s="6"/>
      <c r="N15" s="7"/>
    </row>
    <row r="16" spans="3:16" x14ac:dyDescent="0.25">
      <c r="C16" s="2" t="s">
        <v>13</v>
      </c>
      <c r="D16" s="20">
        <v>100000</v>
      </c>
      <c r="E16" s="7"/>
      <c r="F16" s="6"/>
      <c r="G16" s="7"/>
      <c r="H16" s="6"/>
      <c r="I16" s="7"/>
      <c r="J16" s="6"/>
      <c r="K16" s="7"/>
      <c r="L16" s="7"/>
      <c r="M16" s="6"/>
      <c r="N16" s="7"/>
    </row>
    <row r="17" spans="3:14" x14ac:dyDescent="0.25">
      <c r="C17" s="2" t="s">
        <v>14</v>
      </c>
      <c r="D17" s="20">
        <v>50000</v>
      </c>
      <c r="E17" s="7"/>
      <c r="F17" s="6"/>
      <c r="G17" s="7"/>
      <c r="H17" s="6"/>
      <c r="I17" s="7"/>
      <c r="J17" s="6"/>
      <c r="K17" s="7"/>
      <c r="L17" s="7"/>
      <c r="M17" s="6"/>
      <c r="N17" s="7"/>
    </row>
    <row r="18" spans="3:14" x14ac:dyDescent="0.25">
      <c r="C18" s="2" t="s">
        <v>15</v>
      </c>
      <c r="D18" s="20">
        <v>60000</v>
      </c>
      <c r="E18" s="7"/>
      <c r="F18" s="6"/>
      <c r="G18" s="7"/>
      <c r="H18" s="6"/>
      <c r="I18" s="7"/>
      <c r="J18" s="6"/>
      <c r="K18" s="7"/>
      <c r="L18" s="7"/>
      <c r="M18" s="6"/>
      <c r="N18" s="7"/>
    </row>
    <row r="19" spans="3:14" x14ac:dyDescent="0.25">
      <c r="C19" s="2" t="s">
        <v>16</v>
      </c>
      <c r="D19" s="20">
        <v>22000</v>
      </c>
      <c r="E19" s="7"/>
      <c r="F19" s="6"/>
      <c r="G19" s="7"/>
      <c r="H19" s="6"/>
      <c r="I19" s="7"/>
      <c r="J19" s="6"/>
      <c r="K19" s="7"/>
      <c r="L19" s="7"/>
      <c r="M19" s="6"/>
      <c r="N19" s="7"/>
    </row>
    <row r="20" spans="3:14" ht="24" x14ac:dyDescent="0.25">
      <c r="C20" s="2" t="s">
        <v>276</v>
      </c>
      <c r="D20" s="20">
        <v>15000</v>
      </c>
      <c r="E20" s="7"/>
      <c r="F20" s="6"/>
      <c r="G20" s="7"/>
      <c r="H20" s="6"/>
      <c r="I20" s="7"/>
      <c r="J20" s="6"/>
      <c r="K20" s="7"/>
      <c r="L20" s="7"/>
      <c r="M20" s="6"/>
      <c r="N20" s="7"/>
    </row>
    <row r="21" spans="3:14" x14ac:dyDescent="0.25">
      <c r="C21" s="2" t="s">
        <v>18</v>
      </c>
      <c r="D21" s="20">
        <v>3000</v>
      </c>
      <c r="E21" s="7"/>
      <c r="F21" s="6"/>
      <c r="G21" s="7"/>
      <c r="H21" s="6"/>
      <c r="I21" s="7"/>
      <c r="J21" s="6"/>
      <c r="K21" s="7"/>
      <c r="L21" s="7"/>
      <c r="M21" s="6"/>
      <c r="N21" s="7"/>
    </row>
    <row r="22" spans="3:14" x14ac:dyDescent="0.25">
      <c r="C22" s="2" t="s">
        <v>19</v>
      </c>
      <c r="D22" s="20">
        <v>33200</v>
      </c>
      <c r="E22" s="7"/>
      <c r="F22" s="6"/>
      <c r="G22" s="7"/>
      <c r="H22" s="6"/>
      <c r="I22" s="7"/>
      <c r="J22" s="6"/>
      <c r="K22" s="7"/>
      <c r="L22" s="7"/>
      <c r="M22" s="6"/>
      <c r="N22" s="7"/>
    </row>
    <row r="23" spans="3:14" x14ac:dyDescent="0.25">
      <c r="C23" s="75" t="s">
        <v>174</v>
      </c>
      <c r="D23" s="6"/>
      <c r="E23" s="21">
        <f>SUM(E24:E30)</f>
        <v>264000</v>
      </c>
      <c r="F23" s="21">
        <f t="shared" ref="F23:N23" si="2">SUM(F24:F30)</f>
        <v>264000</v>
      </c>
      <c r="G23" s="21">
        <f>SUM(G24:G30)</f>
        <v>264000</v>
      </c>
      <c r="H23" s="21">
        <f>SUM(H24:H30)</f>
        <v>264000</v>
      </c>
      <c r="I23" s="21">
        <f>SUM(I24:I30)</f>
        <v>264000</v>
      </c>
      <c r="J23" s="21">
        <f>SUM(J24:J30)</f>
        <v>264000</v>
      </c>
      <c r="K23" s="21">
        <f>SUM(K24:K30)</f>
        <v>264000</v>
      </c>
      <c r="L23" s="21">
        <f t="shared" si="2"/>
        <v>264000</v>
      </c>
      <c r="M23" s="21">
        <f t="shared" si="2"/>
        <v>264000</v>
      </c>
      <c r="N23" s="21">
        <f t="shared" si="2"/>
        <v>264000</v>
      </c>
    </row>
    <row r="24" spans="3:14" x14ac:dyDescent="0.25">
      <c r="C24" s="2" t="s">
        <v>20</v>
      </c>
      <c r="D24" s="6"/>
      <c r="E24" s="22">
        <v>20000</v>
      </c>
      <c r="F24" s="22">
        <v>20000</v>
      </c>
      <c r="G24" s="22">
        <v>20000</v>
      </c>
      <c r="H24" s="22">
        <v>20000</v>
      </c>
      <c r="I24" s="22">
        <v>20000</v>
      </c>
      <c r="J24" s="22">
        <v>20000</v>
      </c>
      <c r="K24" s="22">
        <v>20000</v>
      </c>
      <c r="L24" s="22">
        <v>20000</v>
      </c>
      <c r="M24" s="22">
        <v>20000</v>
      </c>
      <c r="N24" s="22">
        <v>20000</v>
      </c>
    </row>
    <row r="25" spans="3:14" x14ac:dyDescent="0.25">
      <c r="C25" s="2" t="s">
        <v>21</v>
      </c>
      <c r="D25" s="6"/>
      <c r="E25" s="22">
        <v>40000</v>
      </c>
      <c r="F25" s="22">
        <v>40000</v>
      </c>
      <c r="G25" s="22">
        <v>40000</v>
      </c>
      <c r="H25" s="22">
        <v>40000</v>
      </c>
      <c r="I25" s="22">
        <v>40000</v>
      </c>
      <c r="J25" s="22">
        <v>40000</v>
      </c>
      <c r="K25" s="22">
        <v>40000</v>
      </c>
      <c r="L25" s="22">
        <v>40000</v>
      </c>
      <c r="M25" s="22">
        <v>40000</v>
      </c>
      <c r="N25" s="22">
        <v>40000</v>
      </c>
    </row>
    <row r="26" spans="3:14" x14ac:dyDescent="0.25">
      <c r="C26" s="2" t="s">
        <v>22</v>
      </c>
      <c r="D26" s="6"/>
      <c r="E26" s="22">
        <v>30000</v>
      </c>
      <c r="F26" s="22">
        <v>30000</v>
      </c>
      <c r="G26" s="22">
        <v>30000</v>
      </c>
      <c r="H26" s="22">
        <v>30000</v>
      </c>
      <c r="I26" s="22">
        <v>30000</v>
      </c>
      <c r="J26" s="22">
        <v>30000</v>
      </c>
      <c r="K26" s="22">
        <v>30000</v>
      </c>
      <c r="L26" s="22">
        <v>30000</v>
      </c>
      <c r="M26" s="22">
        <v>30000</v>
      </c>
      <c r="N26" s="22">
        <v>30000</v>
      </c>
    </row>
    <row r="27" spans="3:14" x14ac:dyDescent="0.25">
      <c r="C27" s="2" t="s">
        <v>23</v>
      </c>
      <c r="D27" s="6"/>
      <c r="E27" s="22">
        <v>120000</v>
      </c>
      <c r="F27" s="22">
        <v>120000</v>
      </c>
      <c r="G27" s="22">
        <v>120000</v>
      </c>
      <c r="H27" s="22">
        <v>120000</v>
      </c>
      <c r="I27" s="22">
        <v>120000</v>
      </c>
      <c r="J27" s="22">
        <v>120000</v>
      </c>
      <c r="K27" s="22">
        <v>120000</v>
      </c>
      <c r="L27" s="22">
        <v>120000</v>
      </c>
      <c r="M27" s="22">
        <v>120000</v>
      </c>
      <c r="N27" s="22">
        <v>120000</v>
      </c>
    </row>
    <row r="28" spans="3:14" x14ac:dyDescent="0.25">
      <c r="C28" s="2" t="s">
        <v>24</v>
      </c>
      <c r="D28" s="6"/>
      <c r="E28" s="22">
        <v>20000</v>
      </c>
      <c r="F28" s="22">
        <v>20000</v>
      </c>
      <c r="G28" s="22">
        <v>20000</v>
      </c>
      <c r="H28" s="22">
        <v>20000</v>
      </c>
      <c r="I28" s="22">
        <v>20000</v>
      </c>
      <c r="J28" s="22">
        <v>20000</v>
      </c>
      <c r="K28" s="22">
        <v>20000</v>
      </c>
      <c r="L28" s="22">
        <v>20000</v>
      </c>
      <c r="M28" s="22">
        <v>20000</v>
      </c>
      <c r="N28" s="22">
        <v>20000</v>
      </c>
    </row>
    <row r="29" spans="3:14" x14ac:dyDescent="0.25">
      <c r="C29" s="2" t="s">
        <v>25</v>
      </c>
      <c r="D29" s="6"/>
      <c r="E29" s="22">
        <v>10000</v>
      </c>
      <c r="F29" s="22">
        <v>10000</v>
      </c>
      <c r="G29" s="22">
        <v>10000</v>
      </c>
      <c r="H29" s="22">
        <v>10000</v>
      </c>
      <c r="I29" s="22">
        <v>10000</v>
      </c>
      <c r="J29" s="22">
        <v>10000</v>
      </c>
      <c r="K29" s="22">
        <v>10000</v>
      </c>
      <c r="L29" s="22">
        <v>10000</v>
      </c>
      <c r="M29" s="22">
        <v>10000</v>
      </c>
      <c r="N29" s="22">
        <v>10000</v>
      </c>
    </row>
    <row r="30" spans="3:14" x14ac:dyDescent="0.25">
      <c r="C30" s="3" t="s">
        <v>19</v>
      </c>
      <c r="D30" s="6"/>
      <c r="E30" s="23">
        <v>24000</v>
      </c>
      <c r="F30" s="23">
        <v>24000</v>
      </c>
      <c r="G30" s="23">
        <v>24000</v>
      </c>
      <c r="H30" s="23">
        <v>24000</v>
      </c>
      <c r="I30" s="23">
        <v>24000</v>
      </c>
      <c r="J30" s="23">
        <v>24000</v>
      </c>
      <c r="K30" s="23">
        <v>24000</v>
      </c>
      <c r="L30" s="23">
        <v>24000</v>
      </c>
      <c r="M30" s="23">
        <v>24000</v>
      </c>
      <c r="N30" s="23">
        <v>24000</v>
      </c>
    </row>
    <row r="31" spans="3:14" x14ac:dyDescent="0.25">
      <c r="C31" s="1" t="s">
        <v>293</v>
      </c>
      <c r="D31" s="25">
        <f>+D8-D13</f>
        <v>-365200</v>
      </c>
      <c r="E31" s="26">
        <f>+E8-E12</f>
        <v>151000</v>
      </c>
      <c r="F31" s="26">
        <f t="shared" ref="F31:N31" si="3">+F8-F12</f>
        <v>151000</v>
      </c>
      <c r="G31" s="26">
        <f t="shared" si="3"/>
        <v>151000</v>
      </c>
      <c r="H31" s="26">
        <f t="shared" si="3"/>
        <v>151000</v>
      </c>
      <c r="I31" s="26">
        <f t="shared" si="3"/>
        <v>151000</v>
      </c>
      <c r="J31" s="26">
        <f t="shared" si="3"/>
        <v>151000</v>
      </c>
      <c r="K31" s="26">
        <f t="shared" si="3"/>
        <v>151000</v>
      </c>
      <c r="L31" s="26">
        <f t="shared" si="3"/>
        <v>151000</v>
      </c>
      <c r="M31" s="26">
        <f t="shared" si="3"/>
        <v>151000</v>
      </c>
      <c r="N31" s="26">
        <f t="shared" si="3"/>
        <v>151000</v>
      </c>
    </row>
    <row r="32" spans="3:14" x14ac:dyDescent="0.25">
      <c r="C32" s="1" t="s">
        <v>33</v>
      </c>
      <c r="D32" s="12">
        <v>1</v>
      </c>
      <c r="E32" s="13">
        <v>0.87</v>
      </c>
      <c r="F32" s="13">
        <v>0.75600000000000001</v>
      </c>
      <c r="G32" s="13">
        <v>0.65800000000000003</v>
      </c>
      <c r="H32" s="13">
        <v>0.57199999999999995</v>
      </c>
      <c r="I32" s="13">
        <v>0.497</v>
      </c>
      <c r="J32" s="13">
        <v>0.432</v>
      </c>
      <c r="K32" s="13">
        <v>0.376</v>
      </c>
      <c r="L32" s="13">
        <v>0.32700000000000001</v>
      </c>
      <c r="M32" s="13">
        <v>0.28399999999999997</v>
      </c>
      <c r="N32" s="13">
        <v>0.247</v>
      </c>
    </row>
    <row r="33" spans="3:14" x14ac:dyDescent="0.25">
      <c r="C33" s="1" t="s">
        <v>7</v>
      </c>
      <c r="D33" s="24">
        <f t="shared" ref="D33:N33" si="4">+D31*D32</f>
        <v>-365200</v>
      </c>
      <c r="E33" s="11">
        <f t="shared" si="4"/>
        <v>131370</v>
      </c>
      <c r="F33" s="11">
        <f t="shared" si="4"/>
        <v>114156</v>
      </c>
      <c r="G33" s="11">
        <f t="shared" si="4"/>
        <v>99358</v>
      </c>
      <c r="H33" s="11">
        <f t="shared" si="4"/>
        <v>86372</v>
      </c>
      <c r="I33" s="11">
        <f t="shared" si="4"/>
        <v>75047</v>
      </c>
      <c r="J33" s="11">
        <f t="shared" si="4"/>
        <v>65232</v>
      </c>
      <c r="K33" s="11">
        <f t="shared" si="4"/>
        <v>56776</v>
      </c>
      <c r="L33" s="11">
        <f t="shared" si="4"/>
        <v>49377</v>
      </c>
      <c r="M33" s="11">
        <f t="shared" si="4"/>
        <v>42883.999999999993</v>
      </c>
      <c r="N33" s="11">
        <f t="shared" si="4"/>
        <v>37297</v>
      </c>
    </row>
    <row r="34" spans="3:14" ht="29.25" customHeight="1" x14ac:dyDescent="0.25">
      <c r="C34" s="386" t="s">
        <v>44</v>
      </c>
      <c r="D34" s="387"/>
      <c r="E34" s="387"/>
      <c r="F34" s="387"/>
      <c r="G34" s="387"/>
      <c r="H34" s="387"/>
      <c r="I34" s="387"/>
      <c r="J34" s="387"/>
      <c r="K34" s="387"/>
      <c r="L34" s="387"/>
      <c r="M34" s="387"/>
      <c r="N34" s="387"/>
    </row>
    <row r="35" spans="3:14" ht="24.75" customHeight="1" x14ac:dyDescent="0.25">
      <c r="C35" s="384" t="s">
        <v>32</v>
      </c>
      <c r="D35" s="385"/>
      <c r="E35" s="385"/>
      <c r="F35" s="385"/>
      <c r="G35" s="385"/>
      <c r="H35" s="385"/>
      <c r="I35" s="385"/>
      <c r="J35" s="385"/>
      <c r="K35" s="385"/>
      <c r="L35" s="385"/>
      <c r="M35" s="385"/>
      <c r="N35" s="385"/>
    </row>
    <row r="36" spans="3:14" ht="15.75" x14ac:dyDescent="0.25">
      <c r="C36" s="17" t="s">
        <v>40</v>
      </c>
      <c r="E36" s="14"/>
      <c r="H36" s="14">
        <f>IRR(D31:N31)</f>
        <v>0.39908378828052204</v>
      </c>
    </row>
    <row r="37" spans="3:14" ht="15.75" x14ac:dyDescent="0.25">
      <c r="C37" s="17" t="s">
        <v>41</v>
      </c>
      <c r="H37" s="27">
        <f>NPV(0.15,E31:N31)+D31</f>
        <v>392634.06250398897</v>
      </c>
    </row>
    <row r="38" spans="3:14" x14ac:dyDescent="0.25">
      <c r="C38" s="383" t="s">
        <v>43</v>
      </c>
      <c r="D38" s="360"/>
      <c r="E38" s="360"/>
      <c r="F38" s="360"/>
      <c r="G38" s="360"/>
      <c r="H38" s="16">
        <f>+NPV(0.15,E8:N8) / (NPV(0.15,E12:N12)+D13)</f>
        <v>1.2323065527913377</v>
      </c>
    </row>
    <row r="42" spans="3:14" x14ac:dyDescent="0.25">
      <c r="D42" s="16"/>
    </row>
  </sheetData>
  <mergeCells count="8">
    <mergeCell ref="C38:G38"/>
    <mergeCell ref="C35:N35"/>
    <mergeCell ref="C1:N1"/>
    <mergeCell ref="C2:N2"/>
    <mergeCell ref="C4:N4"/>
    <mergeCell ref="C5:N5"/>
    <mergeCell ref="C6:N6"/>
    <mergeCell ref="C34:N34"/>
  </mergeCells>
  <pageMargins left="0.7" right="0.7" top="0.75" bottom="0.75" header="0.3" footer="0.3"/>
  <pageSetup paperSize="127" scale="8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workbookViewId="0">
      <selection activeCell="B2" sqref="B2:H20"/>
    </sheetView>
  </sheetViews>
  <sheetFormatPr baseColWidth="10" defaultRowHeight="15" x14ac:dyDescent="0.25"/>
  <cols>
    <col min="1" max="1" width="4.5703125" customWidth="1"/>
    <col min="2" max="2" width="15.7109375" customWidth="1"/>
    <col min="3" max="3" width="10.140625" customWidth="1"/>
    <col min="4" max="4" width="9.140625" customWidth="1"/>
    <col min="5" max="5" width="9.85546875" customWidth="1"/>
    <col min="6" max="6" width="9.5703125" customWidth="1"/>
    <col min="7" max="7" width="11.42578125" customWidth="1"/>
    <col min="8" max="8" width="9.140625" customWidth="1"/>
    <col min="11" max="11" width="12.85546875" bestFit="1" customWidth="1"/>
  </cols>
  <sheetData>
    <row r="1" spans="1:14" ht="15.75" thickBot="1" x14ac:dyDescent="0.3">
      <c r="B1" s="32"/>
      <c r="C1" s="32"/>
      <c r="D1" s="32"/>
      <c r="E1" s="32"/>
      <c r="F1" s="32"/>
      <c r="G1" s="32"/>
      <c r="H1" s="32"/>
    </row>
    <row r="2" spans="1:14" ht="16.5" thickTop="1" x14ac:dyDescent="0.25">
      <c r="A2" s="33"/>
      <c r="B2" s="388" t="s">
        <v>45</v>
      </c>
      <c r="C2" s="389"/>
      <c r="D2" s="389"/>
      <c r="E2" s="389"/>
      <c r="F2" s="389"/>
      <c r="G2" s="389"/>
      <c r="H2" s="390"/>
    </row>
    <row r="3" spans="1:14" x14ac:dyDescent="0.25">
      <c r="A3" s="33"/>
      <c r="B3" s="284" t="s">
        <v>46</v>
      </c>
      <c r="C3" s="285">
        <v>0</v>
      </c>
      <c r="D3" s="285">
        <v>1</v>
      </c>
      <c r="E3" s="285">
        <v>2</v>
      </c>
      <c r="F3" s="285">
        <v>3</v>
      </c>
      <c r="G3" s="285">
        <v>4</v>
      </c>
      <c r="H3" s="286">
        <v>5</v>
      </c>
    </row>
    <row r="4" spans="1:14" x14ac:dyDescent="0.25">
      <c r="A4" s="33"/>
      <c r="B4" s="270" t="s">
        <v>47</v>
      </c>
      <c r="C4" s="271"/>
      <c r="D4" s="272">
        <v>6000</v>
      </c>
      <c r="E4" s="272">
        <v>8000</v>
      </c>
      <c r="F4" s="272">
        <v>10000</v>
      </c>
      <c r="G4" s="272">
        <v>12000</v>
      </c>
      <c r="H4" s="266">
        <v>14000</v>
      </c>
    </row>
    <row r="5" spans="1:14" x14ac:dyDescent="0.25">
      <c r="A5" s="33"/>
      <c r="B5" s="270" t="s">
        <v>50</v>
      </c>
      <c r="C5" s="272">
        <v>10000000</v>
      </c>
      <c r="D5" s="272">
        <v>3000000</v>
      </c>
      <c r="E5" s="272">
        <v>3000000</v>
      </c>
      <c r="F5" s="272">
        <v>4000000</v>
      </c>
      <c r="G5" s="272">
        <v>6000000</v>
      </c>
      <c r="H5" s="266">
        <v>7000000</v>
      </c>
      <c r="J5" s="31"/>
    </row>
    <row r="6" spans="1:14" x14ac:dyDescent="0.25">
      <c r="A6" s="33"/>
      <c r="B6" s="273"/>
      <c r="C6" s="29"/>
      <c r="D6" s="29"/>
      <c r="E6" s="29"/>
      <c r="F6" s="29"/>
      <c r="G6" s="29"/>
      <c r="H6" s="33"/>
      <c r="J6" s="35"/>
    </row>
    <row r="7" spans="1:14" x14ac:dyDescent="0.25">
      <c r="A7" s="33"/>
      <c r="B7" s="34" t="s">
        <v>294</v>
      </c>
      <c r="C7" s="265"/>
      <c r="D7" s="265"/>
      <c r="E7" s="29"/>
      <c r="F7" s="265"/>
      <c r="G7" s="274">
        <f>+C5+NPV(0.12,D5:H5)</f>
        <v>25702370.512937315</v>
      </c>
      <c r="H7" s="275"/>
      <c r="I7" s="9"/>
      <c r="J7" s="36"/>
      <c r="N7" s="15"/>
    </row>
    <row r="8" spans="1:14" x14ac:dyDescent="0.25">
      <c r="A8" s="33"/>
      <c r="B8" s="276" t="s">
        <v>298</v>
      </c>
      <c r="C8" s="265"/>
      <c r="D8" s="265"/>
      <c r="E8" s="265"/>
      <c r="F8" s="265"/>
      <c r="G8" s="277">
        <f>PMT(0.12,5,-G7)</f>
        <v>7130087.7142434604</v>
      </c>
      <c r="H8" s="275"/>
      <c r="I8" s="9"/>
      <c r="J8" s="9"/>
      <c r="N8" s="15"/>
    </row>
    <row r="9" spans="1:14" x14ac:dyDescent="0.25">
      <c r="A9" s="33"/>
      <c r="B9" s="276" t="s">
        <v>48</v>
      </c>
      <c r="C9" s="29"/>
      <c r="D9" s="265" t="s">
        <v>295</v>
      </c>
      <c r="E9" s="265"/>
      <c r="F9" s="265"/>
      <c r="G9" s="278">
        <f>SUM(D4:H4)/5</f>
        <v>10000</v>
      </c>
      <c r="H9" s="275"/>
      <c r="I9" s="9"/>
      <c r="J9" s="9"/>
      <c r="N9" s="15"/>
    </row>
    <row r="10" spans="1:14" x14ac:dyDescent="0.25">
      <c r="A10" s="33"/>
      <c r="B10" s="276" t="s">
        <v>300</v>
      </c>
      <c r="C10" s="279"/>
      <c r="D10" s="265"/>
      <c r="E10" s="265"/>
      <c r="F10" s="265"/>
      <c r="G10" s="280">
        <f>+G8/G9</f>
        <v>713.00877142434604</v>
      </c>
      <c r="H10" s="275"/>
      <c r="I10" s="9"/>
      <c r="J10" s="9"/>
      <c r="N10" s="15"/>
    </row>
    <row r="11" spans="1:14" x14ac:dyDescent="0.25">
      <c r="A11" s="33"/>
      <c r="B11" s="276"/>
      <c r="C11" s="265"/>
      <c r="D11" s="265"/>
      <c r="E11" s="265"/>
      <c r="F11" s="265"/>
      <c r="G11" s="265"/>
      <c r="H11" s="275"/>
      <c r="I11" s="9"/>
      <c r="J11" s="9"/>
      <c r="N11" s="15"/>
    </row>
    <row r="12" spans="1:14" ht="15.75" x14ac:dyDescent="0.25">
      <c r="A12" s="33"/>
      <c r="B12" s="391" t="s">
        <v>49</v>
      </c>
      <c r="C12" s="392"/>
      <c r="D12" s="392"/>
      <c r="E12" s="392"/>
      <c r="F12" s="392"/>
      <c r="G12" s="392"/>
      <c r="H12" s="393"/>
      <c r="I12" s="9"/>
      <c r="J12" s="9"/>
      <c r="N12" s="15"/>
    </row>
    <row r="13" spans="1:14" x14ac:dyDescent="0.25">
      <c r="A13" s="33"/>
      <c r="B13" s="284" t="s">
        <v>46</v>
      </c>
      <c r="C13" s="285">
        <v>0</v>
      </c>
      <c r="D13" s="285">
        <v>1</v>
      </c>
      <c r="E13" s="285">
        <v>2</v>
      </c>
      <c r="F13" s="285">
        <v>3</v>
      </c>
      <c r="G13" s="285">
        <v>4</v>
      </c>
      <c r="H13" s="286">
        <v>5</v>
      </c>
      <c r="I13" s="9"/>
      <c r="J13" s="9"/>
      <c r="N13" s="15"/>
    </row>
    <row r="14" spans="1:14" x14ac:dyDescent="0.25">
      <c r="A14" s="33"/>
      <c r="B14" s="270" t="s">
        <v>47</v>
      </c>
      <c r="C14" s="272"/>
      <c r="D14" s="272">
        <v>6000</v>
      </c>
      <c r="E14" s="272">
        <v>8000</v>
      </c>
      <c r="F14" s="272">
        <v>10000</v>
      </c>
      <c r="G14" s="272">
        <v>12000</v>
      </c>
      <c r="H14" s="266">
        <v>14000</v>
      </c>
      <c r="N14" s="15"/>
    </row>
    <row r="15" spans="1:14" x14ac:dyDescent="0.25">
      <c r="A15" s="33"/>
      <c r="B15" s="270" t="s">
        <v>50</v>
      </c>
      <c r="C15" s="272">
        <v>23000000</v>
      </c>
      <c r="D15" s="272">
        <v>2000000</v>
      </c>
      <c r="E15" s="272">
        <v>2000000</v>
      </c>
      <c r="F15" s="272">
        <v>2000000</v>
      </c>
      <c r="G15" s="272">
        <v>2000000</v>
      </c>
      <c r="H15" s="266">
        <v>2000000</v>
      </c>
      <c r="N15" s="15"/>
    </row>
    <row r="16" spans="1:14" x14ac:dyDescent="0.25">
      <c r="A16" s="33"/>
      <c r="B16" s="273"/>
      <c r="C16" s="29"/>
      <c r="D16" s="29"/>
      <c r="E16" s="29"/>
      <c r="F16" s="29"/>
      <c r="G16" s="29"/>
      <c r="H16" s="33"/>
      <c r="N16" s="15"/>
    </row>
    <row r="17" spans="1:14" x14ac:dyDescent="0.25">
      <c r="A17" s="33"/>
      <c r="B17" s="34" t="s">
        <v>296</v>
      </c>
      <c r="C17" s="29"/>
      <c r="D17" s="29"/>
      <c r="E17" s="29"/>
      <c r="F17" s="29"/>
      <c r="G17" s="274">
        <f>+C15+NPV(0.12,D15:H15)</f>
        <v>30209552.404690009</v>
      </c>
      <c r="H17" s="33"/>
      <c r="N17" s="15"/>
    </row>
    <row r="18" spans="1:14" x14ac:dyDescent="0.25">
      <c r="A18" s="33"/>
      <c r="B18" s="276" t="s">
        <v>297</v>
      </c>
      <c r="C18" s="29"/>
      <c r="D18" s="29"/>
      <c r="E18" s="29"/>
      <c r="F18" s="29"/>
      <c r="G18" s="281">
        <f>PMT(0.12,5,-G17)</f>
        <v>8380423.8346441248</v>
      </c>
      <c r="H18" s="33"/>
      <c r="N18" s="15"/>
    </row>
    <row r="19" spans="1:14" x14ac:dyDescent="0.25">
      <c r="A19" s="33"/>
      <c r="B19" s="276" t="s">
        <v>48</v>
      </c>
      <c r="C19" s="29"/>
      <c r="D19" s="29" t="s">
        <v>299</v>
      </c>
      <c r="E19" s="29"/>
      <c r="F19" s="29"/>
      <c r="G19" s="282">
        <f>SUM(D14:H14)/5</f>
        <v>10000</v>
      </c>
      <c r="H19" s="33"/>
      <c r="N19" s="15"/>
    </row>
    <row r="20" spans="1:14" ht="15.75" thickBot="1" x14ac:dyDescent="0.3">
      <c r="A20" s="33"/>
      <c r="B20" s="267" t="s">
        <v>301</v>
      </c>
      <c r="C20" s="268"/>
      <c r="D20" s="268"/>
      <c r="E20" s="268"/>
      <c r="F20" s="268"/>
      <c r="G20" s="269">
        <f>+G18/G19</f>
        <v>838.04238346441252</v>
      </c>
      <c r="H20" s="283"/>
    </row>
    <row r="21" spans="1:14" ht="15.75" thickTop="1" x14ac:dyDescent="0.25">
      <c r="N21" s="15"/>
    </row>
    <row r="22" spans="1:14" x14ac:dyDescent="0.25">
      <c r="N22" s="15"/>
    </row>
    <row r="23" spans="1:14" x14ac:dyDescent="0.25">
      <c r="N23" s="15"/>
    </row>
  </sheetData>
  <mergeCells count="2">
    <mergeCell ref="B2:H2"/>
    <mergeCell ref="B12:H1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42"/>
  <sheetViews>
    <sheetView workbookViewId="0">
      <selection activeCell="C1" sqref="C1:N38"/>
    </sheetView>
  </sheetViews>
  <sheetFormatPr baseColWidth="10" defaultRowHeight="15" x14ac:dyDescent="0.25"/>
  <cols>
    <col min="1" max="1" width="1.7109375" customWidth="1"/>
    <col min="2" max="2" width="2.140625" customWidth="1"/>
    <col min="3" max="3" width="34.42578125" customWidth="1"/>
    <col min="4" max="4" width="15.42578125" bestFit="1" customWidth="1"/>
    <col min="5" max="5" width="12.7109375" bestFit="1" customWidth="1"/>
  </cols>
  <sheetData>
    <row r="1" spans="3:16" x14ac:dyDescent="0.25">
      <c r="C1" s="373" t="s">
        <v>275</v>
      </c>
      <c r="D1" s="373"/>
      <c r="E1" s="373"/>
      <c r="F1" s="373"/>
      <c r="G1" s="373"/>
      <c r="H1" s="373"/>
      <c r="I1" s="373"/>
      <c r="J1" s="373"/>
      <c r="K1" s="373"/>
      <c r="L1" s="373"/>
      <c r="M1" s="373"/>
      <c r="N1" s="373"/>
    </row>
    <row r="2" spans="3:16" x14ac:dyDescent="0.25">
      <c r="C2" s="353" t="s">
        <v>28</v>
      </c>
      <c r="D2" s="353"/>
      <c r="E2" s="353"/>
      <c r="F2" s="353"/>
      <c r="G2" s="353"/>
      <c r="H2" s="353"/>
      <c r="I2" s="353"/>
      <c r="J2" s="353"/>
      <c r="K2" s="353"/>
      <c r="L2" s="353"/>
      <c r="M2" s="353"/>
      <c r="N2" s="353"/>
    </row>
    <row r="4" spans="3:16" x14ac:dyDescent="0.25">
      <c r="C4" s="360" t="s">
        <v>29</v>
      </c>
      <c r="D4" s="360"/>
      <c r="E4" s="360"/>
      <c r="F4" s="360"/>
      <c r="G4" s="360"/>
      <c r="H4" s="360"/>
      <c r="I4" s="360"/>
      <c r="J4" s="360"/>
      <c r="K4" s="360"/>
      <c r="L4" s="360"/>
      <c r="M4" s="360"/>
      <c r="N4" s="360"/>
    </row>
    <row r="5" spans="3:16" x14ac:dyDescent="0.25">
      <c r="C5" s="360" t="s">
        <v>30</v>
      </c>
      <c r="D5" s="360"/>
      <c r="E5" s="360"/>
      <c r="F5" s="360"/>
      <c r="G5" s="360"/>
      <c r="H5" s="360"/>
      <c r="I5" s="360"/>
      <c r="J5" s="360"/>
      <c r="K5" s="360"/>
      <c r="L5" s="360"/>
      <c r="M5" s="360"/>
      <c r="N5" s="360"/>
    </row>
    <row r="6" spans="3:16" x14ac:dyDescent="0.25">
      <c r="C6" s="385" t="s">
        <v>31</v>
      </c>
      <c r="D6" s="385"/>
      <c r="E6" s="385"/>
      <c r="F6" s="385"/>
      <c r="G6" s="385"/>
      <c r="H6" s="385"/>
      <c r="I6" s="385"/>
      <c r="J6" s="385"/>
      <c r="K6" s="385"/>
      <c r="L6" s="385"/>
      <c r="M6" s="385"/>
      <c r="N6" s="385"/>
    </row>
    <row r="7" spans="3:16" x14ac:dyDescent="0.25">
      <c r="C7" s="5" t="s">
        <v>0</v>
      </c>
      <c r="D7" s="5" t="s">
        <v>1</v>
      </c>
      <c r="E7" s="5" t="s">
        <v>2</v>
      </c>
      <c r="F7" s="5" t="s">
        <v>3</v>
      </c>
      <c r="G7" s="5" t="s">
        <v>34</v>
      </c>
      <c r="H7" s="5" t="s">
        <v>35</v>
      </c>
      <c r="I7" s="5" t="s">
        <v>36</v>
      </c>
      <c r="J7" s="5" t="s">
        <v>37</v>
      </c>
      <c r="K7" s="5" t="s">
        <v>38</v>
      </c>
      <c r="L7" s="5" t="s">
        <v>39</v>
      </c>
      <c r="M7" s="5" t="s">
        <v>26</v>
      </c>
      <c r="N7" s="5" t="s">
        <v>27</v>
      </c>
    </row>
    <row r="8" spans="3:16" ht="24.75" customHeight="1" x14ac:dyDescent="0.25">
      <c r="C8" s="4" t="s">
        <v>4</v>
      </c>
      <c r="D8" s="10">
        <v>0</v>
      </c>
      <c r="E8" s="10">
        <f>SUM(E9:E11)</f>
        <v>415000</v>
      </c>
      <c r="F8" s="10">
        <f t="shared" ref="F8:N8" si="0">SUM(F9:F11)</f>
        <v>415000</v>
      </c>
      <c r="G8" s="10">
        <f t="shared" si="0"/>
        <v>415000</v>
      </c>
      <c r="H8" s="10">
        <f t="shared" si="0"/>
        <v>415000</v>
      </c>
      <c r="I8" s="10">
        <f t="shared" si="0"/>
        <v>415000</v>
      </c>
      <c r="J8" s="10">
        <f t="shared" si="0"/>
        <v>415000</v>
      </c>
      <c r="K8" s="10">
        <f t="shared" si="0"/>
        <v>415000</v>
      </c>
      <c r="L8" s="10">
        <f t="shared" si="0"/>
        <v>415000</v>
      </c>
      <c r="M8" s="10">
        <f t="shared" si="0"/>
        <v>415000</v>
      </c>
      <c r="N8" s="10">
        <f t="shared" si="0"/>
        <v>415000</v>
      </c>
      <c r="O8" s="28"/>
      <c r="P8" s="29"/>
    </row>
    <row r="9" spans="3:16" x14ac:dyDescent="0.25">
      <c r="C9" s="2" t="s">
        <v>8</v>
      </c>
      <c r="D9" s="6"/>
      <c r="E9" s="7">
        <v>375000</v>
      </c>
      <c r="F9" s="7">
        <v>375000</v>
      </c>
      <c r="G9" s="7">
        <v>375000</v>
      </c>
      <c r="H9" s="7">
        <v>375000</v>
      </c>
      <c r="I9" s="7">
        <v>375000</v>
      </c>
      <c r="J9" s="7">
        <v>375000</v>
      </c>
      <c r="K9" s="7">
        <v>375000</v>
      </c>
      <c r="L9" s="7">
        <v>375000</v>
      </c>
      <c r="M9" s="7">
        <v>375000</v>
      </c>
      <c r="N9" s="7">
        <v>375000</v>
      </c>
    </row>
    <row r="10" spans="3:16" x14ac:dyDescent="0.25">
      <c r="C10" s="2" t="s">
        <v>9</v>
      </c>
      <c r="D10" s="6"/>
      <c r="E10" s="7">
        <v>20000</v>
      </c>
      <c r="F10" s="7">
        <v>20000</v>
      </c>
      <c r="G10" s="7">
        <v>20000</v>
      </c>
      <c r="H10" s="7">
        <v>20000</v>
      </c>
      <c r="I10" s="7">
        <v>20000</v>
      </c>
      <c r="J10" s="7">
        <v>20000</v>
      </c>
      <c r="K10" s="7">
        <v>20000</v>
      </c>
      <c r="L10" s="7">
        <v>20000</v>
      </c>
      <c r="M10" s="7">
        <v>20000</v>
      </c>
      <c r="N10" s="7">
        <v>20000</v>
      </c>
    </row>
    <row r="11" spans="3:16" x14ac:dyDescent="0.25">
      <c r="C11" s="2" t="s">
        <v>10</v>
      </c>
      <c r="D11" s="6"/>
      <c r="E11" s="7">
        <v>20000</v>
      </c>
      <c r="F11" s="7">
        <v>20000</v>
      </c>
      <c r="G11" s="7">
        <v>20000</v>
      </c>
      <c r="H11" s="7">
        <v>20000</v>
      </c>
      <c r="I11" s="7">
        <v>20000</v>
      </c>
      <c r="J11" s="7">
        <v>20000</v>
      </c>
      <c r="K11" s="7">
        <v>20000</v>
      </c>
      <c r="L11" s="7">
        <v>20000</v>
      </c>
      <c r="M11" s="7">
        <v>20000</v>
      </c>
      <c r="N11" s="7">
        <v>20000</v>
      </c>
    </row>
    <row r="12" spans="3:16" x14ac:dyDescent="0.25">
      <c r="C12" s="4" t="s">
        <v>5</v>
      </c>
      <c r="D12" s="8"/>
      <c r="E12" s="10">
        <f>+E13+E23</f>
        <v>264000</v>
      </c>
      <c r="F12" s="10">
        <f t="shared" ref="F12:N12" si="1">+F13+F23</f>
        <v>264000</v>
      </c>
      <c r="G12" s="10">
        <f t="shared" si="1"/>
        <v>264000</v>
      </c>
      <c r="H12" s="10">
        <f t="shared" si="1"/>
        <v>264000</v>
      </c>
      <c r="I12" s="10">
        <f t="shared" si="1"/>
        <v>264000</v>
      </c>
      <c r="J12" s="10">
        <f t="shared" si="1"/>
        <v>264000</v>
      </c>
      <c r="K12" s="10">
        <f t="shared" si="1"/>
        <v>264000</v>
      </c>
      <c r="L12" s="10">
        <f t="shared" si="1"/>
        <v>264000</v>
      </c>
      <c r="M12" s="10">
        <f t="shared" si="1"/>
        <v>264000</v>
      </c>
      <c r="N12" s="10">
        <f t="shared" si="1"/>
        <v>264000</v>
      </c>
    </row>
    <row r="13" spans="3:16" x14ac:dyDescent="0.25">
      <c r="C13" s="75" t="s">
        <v>173</v>
      </c>
      <c r="D13" s="19">
        <f>SUM(D14:D22)</f>
        <v>365200</v>
      </c>
      <c r="E13" s="7"/>
      <c r="F13" s="6"/>
      <c r="G13" s="18"/>
      <c r="H13" s="6"/>
      <c r="I13" s="18"/>
      <c r="J13" s="6"/>
      <c r="K13" s="18"/>
      <c r="L13" s="7"/>
      <c r="M13" s="6"/>
      <c r="N13" s="7"/>
    </row>
    <row r="14" spans="3:16" x14ac:dyDescent="0.25">
      <c r="C14" s="2" t="s">
        <v>11</v>
      </c>
      <c r="D14" s="20">
        <v>60000</v>
      </c>
      <c r="E14" s="7"/>
      <c r="F14" s="6"/>
      <c r="G14" s="7"/>
      <c r="H14" s="6"/>
      <c r="I14" s="7"/>
      <c r="J14" s="6"/>
      <c r="K14" s="7"/>
      <c r="L14" s="7"/>
      <c r="M14" s="6"/>
      <c r="N14" s="7"/>
    </row>
    <row r="15" spans="3:16" x14ac:dyDescent="0.25">
      <c r="C15" s="2" t="s">
        <v>12</v>
      </c>
      <c r="D15" s="20">
        <v>22000</v>
      </c>
      <c r="E15" s="7"/>
      <c r="F15" s="6"/>
      <c r="G15" s="7"/>
      <c r="H15" s="6"/>
      <c r="I15" s="7"/>
      <c r="J15" s="6"/>
      <c r="K15" s="7"/>
      <c r="L15" s="7"/>
      <c r="M15" s="6"/>
      <c r="N15" s="7"/>
    </row>
    <row r="16" spans="3:16" x14ac:dyDescent="0.25">
      <c r="C16" s="2" t="s">
        <v>13</v>
      </c>
      <c r="D16" s="20">
        <v>100000</v>
      </c>
      <c r="E16" s="7"/>
      <c r="F16" s="6"/>
      <c r="G16" s="7"/>
      <c r="H16" s="6"/>
      <c r="I16" s="7"/>
      <c r="J16" s="6"/>
      <c r="K16" s="7"/>
      <c r="L16" s="7"/>
      <c r="M16" s="6"/>
      <c r="N16" s="7"/>
    </row>
    <row r="17" spans="3:14" x14ac:dyDescent="0.25">
      <c r="C17" s="2" t="s">
        <v>14</v>
      </c>
      <c r="D17" s="20">
        <v>50000</v>
      </c>
      <c r="E17" s="7"/>
      <c r="F17" s="6"/>
      <c r="G17" s="7"/>
      <c r="H17" s="6"/>
      <c r="I17" s="7"/>
      <c r="J17" s="6"/>
      <c r="K17" s="7"/>
      <c r="L17" s="7"/>
      <c r="M17" s="6"/>
      <c r="N17" s="7"/>
    </row>
    <row r="18" spans="3:14" x14ac:dyDescent="0.25">
      <c r="C18" s="2" t="s">
        <v>15</v>
      </c>
      <c r="D18" s="20">
        <v>60000</v>
      </c>
      <c r="E18" s="7"/>
      <c r="F18" s="6"/>
      <c r="G18" s="7"/>
      <c r="H18" s="6"/>
      <c r="I18" s="7"/>
      <c r="J18" s="6"/>
      <c r="K18" s="7"/>
      <c r="L18" s="7"/>
      <c r="M18" s="6"/>
      <c r="N18" s="7"/>
    </row>
    <row r="19" spans="3:14" x14ac:dyDescent="0.25">
      <c r="C19" s="2" t="s">
        <v>16</v>
      </c>
      <c r="D19" s="20">
        <v>22000</v>
      </c>
      <c r="E19" s="7"/>
      <c r="F19" s="6"/>
      <c r="G19" s="7"/>
      <c r="H19" s="6"/>
      <c r="I19" s="7"/>
      <c r="J19" s="6"/>
      <c r="K19" s="7"/>
      <c r="L19" s="7"/>
      <c r="M19" s="6"/>
      <c r="N19" s="7"/>
    </row>
    <row r="20" spans="3:14" ht="24" x14ac:dyDescent="0.25">
      <c r="C20" s="2" t="s">
        <v>17</v>
      </c>
      <c r="D20" s="20">
        <v>15000</v>
      </c>
      <c r="E20" s="7"/>
      <c r="F20" s="6"/>
      <c r="G20" s="7"/>
      <c r="H20" s="6"/>
      <c r="I20" s="7"/>
      <c r="J20" s="6"/>
      <c r="K20" s="7"/>
      <c r="L20" s="7"/>
      <c r="M20" s="6"/>
      <c r="N20" s="7"/>
    </row>
    <row r="21" spans="3:14" x14ac:dyDescent="0.25">
      <c r="C21" s="2" t="s">
        <v>18</v>
      </c>
      <c r="D21" s="20">
        <v>3000</v>
      </c>
      <c r="E21" s="7"/>
      <c r="F21" s="6"/>
      <c r="G21" s="7"/>
      <c r="H21" s="6"/>
      <c r="I21" s="7"/>
      <c r="J21" s="6"/>
      <c r="K21" s="7"/>
      <c r="L21" s="7"/>
      <c r="M21" s="6"/>
      <c r="N21" s="7"/>
    </row>
    <row r="22" spans="3:14" x14ac:dyDescent="0.25">
      <c r="C22" s="2" t="s">
        <v>19</v>
      </c>
      <c r="D22" s="20">
        <v>33200</v>
      </c>
      <c r="E22" s="7"/>
      <c r="F22" s="6"/>
      <c r="G22" s="7"/>
      <c r="H22" s="6"/>
      <c r="I22" s="7"/>
      <c r="J22" s="6"/>
      <c r="K22" s="7"/>
      <c r="L22" s="7"/>
      <c r="M22" s="6"/>
      <c r="N22" s="7"/>
    </row>
    <row r="23" spans="3:14" x14ac:dyDescent="0.25">
      <c r="C23" s="75" t="s">
        <v>174</v>
      </c>
      <c r="D23" s="6"/>
      <c r="E23" s="21">
        <f>SUM(E24:E30)</f>
        <v>264000</v>
      </c>
      <c r="F23" s="21">
        <f t="shared" ref="F23:N23" si="2">SUM(F24:F30)</f>
        <v>264000</v>
      </c>
      <c r="G23" s="21">
        <f t="shared" si="2"/>
        <v>264000</v>
      </c>
      <c r="H23" s="21">
        <f t="shared" si="2"/>
        <v>264000</v>
      </c>
      <c r="I23" s="21">
        <f t="shared" si="2"/>
        <v>264000</v>
      </c>
      <c r="J23" s="21">
        <f t="shared" si="2"/>
        <v>264000</v>
      </c>
      <c r="K23" s="21">
        <f t="shared" si="2"/>
        <v>264000</v>
      </c>
      <c r="L23" s="21">
        <f t="shared" si="2"/>
        <v>264000</v>
      </c>
      <c r="M23" s="21">
        <f t="shared" si="2"/>
        <v>264000</v>
      </c>
      <c r="N23" s="21">
        <f t="shared" si="2"/>
        <v>264000</v>
      </c>
    </row>
    <row r="24" spans="3:14" x14ac:dyDescent="0.25">
      <c r="C24" s="2" t="s">
        <v>20</v>
      </c>
      <c r="D24" s="6"/>
      <c r="E24" s="22">
        <v>20000</v>
      </c>
      <c r="F24" s="22">
        <v>20000</v>
      </c>
      <c r="G24" s="22">
        <v>20000</v>
      </c>
      <c r="H24" s="22">
        <v>20000</v>
      </c>
      <c r="I24" s="22">
        <v>20000</v>
      </c>
      <c r="J24" s="22">
        <v>20000</v>
      </c>
      <c r="K24" s="22">
        <v>20000</v>
      </c>
      <c r="L24" s="22">
        <v>20000</v>
      </c>
      <c r="M24" s="22">
        <v>20000</v>
      </c>
      <c r="N24" s="22">
        <v>20000</v>
      </c>
    </row>
    <row r="25" spans="3:14" x14ac:dyDescent="0.25">
      <c r="C25" s="2" t="s">
        <v>21</v>
      </c>
      <c r="D25" s="6"/>
      <c r="E25" s="22">
        <v>40000</v>
      </c>
      <c r="F25" s="22">
        <v>40000</v>
      </c>
      <c r="G25" s="22">
        <v>40000</v>
      </c>
      <c r="H25" s="22">
        <v>40000</v>
      </c>
      <c r="I25" s="22">
        <v>40000</v>
      </c>
      <c r="J25" s="22">
        <v>40000</v>
      </c>
      <c r="K25" s="22">
        <v>40000</v>
      </c>
      <c r="L25" s="22">
        <v>40000</v>
      </c>
      <c r="M25" s="22">
        <v>40000</v>
      </c>
      <c r="N25" s="22">
        <v>40000</v>
      </c>
    </row>
    <row r="26" spans="3:14" x14ac:dyDescent="0.25">
      <c r="C26" s="2" t="s">
        <v>22</v>
      </c>
      <c r="D26" s="6"/>
      <c r="E26" s="22">
        <v>30000</v>
      </c>
      <c r="F26" s="22">
        <v>30000</v>
      </c>
      <c r="G26" s="22">
        <v>30000</v>
      </c>
      <c r="H26" s="22">
        <v>30000</v>
      </c>
      <c r="I26" s="22">
        <v>30000</v>
      </c>
      <c r="J26" s="22">
        <v>30000</v>
      </c>
      <c r="K26" s="22">
        <v>30000</v>
      </c>
      <c r="L26" s="22">
        <v>30000</v>
      </c>
      <c r="M26" s="22">
        <v>30000</v>
      </c>
      <c r="N26" s="22">
        <v>30000</v>
      </c>
    </row>
    <row r="27" spans="3:14" x14ac:dyDescent="0.25">
      <c r="C27" s="2" t="s">
        <v>23</v>
      </c>
      <c r="D27" s="6"/>
      <c r="E27" s="22">
        <v>120000</v>
      </c>
      <c r="F27" s="22">
        <v>120000</v>
      </c>
      <c r="G27" s="22">
        <v>120000</v>
      </c>
      <c r="H27" s="22">
        <v>120000</v>
      </c>
      <c r="I27" s="22">
        <v>120000</v>
      </c>
      <c r="J27" s="22">
        <v>120000</v>
      </c>
      <c r="K27" s="22">
        <v>120000</v>
      </c>
      <c r="L27" s="22">
        <v>120000</v>
      </c>
      <c r="M27" s="22">
        <v>120000</v>
      </c>
      <c r="N27" s="22">
        <v>120000</v>
      </c>
    </row>
    <row r="28" spans="3:14" x14ac:dyDescent="0.25">
      <c r="C28" s="2" t="s">
        <v>24</v>
      </c>
      <c r="D28" s="6"/>
      <c r="E28" s="22">
        <v>20000</v>
      </c>
      <c r="F28" s="22">
        <v>20000</v>
      </c>
      <c r="G28" s="22">
        <v>20000</v>
      </c>
      <c r="H28" s="22">
        <v>20000</v>
      </c>
      <c r="I28" s="22">
        <v>20000</v>
      </c>
      <c r="J28" s="22">
        <v>20000</v>
      </c>
      <c r="K28" s="22">
        <v>20000</v>
      </c>
      <c r="L28" s="22">
        <v>20000</v>
      </c>
      <c r="M28" s="22">
        <v>20000</v>
      </c>
      <c r="N28" s="22">
        <v>20000</v>
      </c>
    </row>
    <row r="29" spans="3:14" x14ac:dyDescent="0.25">
      <c r="C29" s="2" t="s">
        <v>25</v>
      </c>
      <c r="D29" s="6"/>
      <c r="E29" s="22">
        <v>10000</v>
      </c>
      <c r="F29" s="22">
        <v>10000</v>
      </c>
      <c r="G29" s="22">
        <v>10000</v>
      </c>
      <c r="H29" s="22">
        <v>10000</v>
      </c>
      <c r="I29" s="22">
        <v>10000</v>
      </c>
      <c r="J29" s="22">
        <v>10000</v>
      </c>
      <c r="K29" s="22">
        <v>10000</v>
      </c>
      <c r="L29" s="22">
        <v>10000</v>
      </c>
      <c r="M29" s="22">
        <v>10000</v>
      </c>
      <c r="N29" s="22">
        <v>10000</v>
      </c>
    </row>
    <row r="30" spans="3:14" x14ac:dyDescent="0.25">
      <c r="C30" s="3" t="s">
        <v>19</v>
      </c>
      <c r="D30" s="6"/>
      <c r="E30" s="23">
        <v>24000</v>
      </c>
      <c r="F30" s="23">
        <v>24000</v>
      </c>
      <c r="G30" s="23">
        <v>24000</v>
      </c>
      <c r="H30" s="23">
        <v>24000</v>
      </c>
      <c r="I30" s="23">
        <v>24000</v>
      </c>
      <c r="J30" s="23">
        <v>24000</v>
      </c>
      <c r="K30" s="23">
        <v>24000</v>
      </c>
      <c r="L30" s="23">
        <v>24000</v>
      </c>
      <c r="M30" s="23">
        <v>24000</v>
      </c>
      <c r="N30" s="23">
        <v>24000</v>
      </c>
    </row>
    <row r="31" spans="3:14" x14ac:dyDescent="0.25">
      <c r="C31" s="1" t="s">
        <v>6</v>
      </c>
      <c r="D31" s="25">
        <f>+D8-D13</f>
        <v>-365200</v>
      </c>
      <c r="E31" s="26">
        <f>+E8-E12</f>
        <v>151000</v>
      </c>
      <c r="F31" s="26">
        <f t="shared" ref="F31:N31" si="3">+F8-F12</f>
        <v>151000</v>
      </c>
      <c r="G31" s="26">
        <f t="shared" si="3"/>
        <v>151000</v>
      </c>
      <c r="H31" s="26">
        <f t="shared" si="3"/>
        <v>151000</v>
      </c>
      <c r="I31" s="26">
        <f t="shared" si="3"/>
        <v>151000</v>
      </c>
      <c r="J31" s="26">
        <f t="shared" si="3"/>
        <v>151000</v>
      </c>
      <c r="K31" s="26">
        <f t="shared" si="3"/>
        <v>151000</v>
      </c>
      <c r="L31" s="26">
        <f t="shared" si="3"/>
        <v>151000</v>
      </c>
      <c r="M31" s="26">
        <f t="shared" si="3"/>
        <v>151000</v>
      </c>
      <c r="N31" s="26">
        <f t="shared" si="3"/>
        <v>151000</v>
      </c>
    </row>
    <row r="32" spans="3:14" x14ac:dyDescent="0.25">
      <c r="C32" s="1" t="s">
        <v>33</v>
      </c>
      <c r="D32" s="12">
        <v>1</v>
      </c>
      <c r="E32" s="13">
        <v>0.87</v>
      </c>
      <c r="F32" s="13">
        <v>0.75600000000000001</v>
      </c>
      <c r="G32" s="13">
        <v>0.65800000000000003</v>
      </c>
      <c r="H32" s="13">
        <v>0.57199999999999995</v>
      </c>
      <c r="I32" s="13">
        <v>0.497</v>
      </c>
      <c r="J32" s="13">
        <v>0.432</v>
      </c>
      <c r="K32" s="13">
        <v>0.376</v>
      </c>
      <c r="L32" s="13">
        <v>0.32700000000000001</v>
      </c>
      <c r="M32" s="13">
        <v>0.28399999999999997</v>
      </c>
      <c r="N32" s="13">
        <v>0.247</v>
      </c>
    </row>
    <row r="33" spans="3:14" x14ac:dyDescent="0.25">
      <c r="C33" s="1" t="s">
        <v>7</v>
      </c>
      <c r="D33" s="24">
        <f>+D31*D32</f>
        <v>-365200</v>
      </c>
      <c r="E33" s="11">
        <f t="shared" ref="E33:N33" si="4">+E31*E32</f>
        <v>131370</v>
      </c>
      <c r="F33" s="11">
        <f t="shared" si="4"/>
        <v>114156</v>
      </c>
      <c r="G33" s="11">
        <f t="shared" si="4"/>
        <v>99358</v>
      </c>
      <c r="H33" s="11">
        <f t="shared" si="4"/>
        <v>86372</v>
      </c>
      <c r="I33" s="11">
        <f t="shared" si="4"/>
        <v>75047</v>
      </c>
      <c r="J33" s="11">
        <f t="shared" si="4"/>
        <v>65232</v>
      </c>
      <c r="K33" s="11">
        <f t="shared" si="4"/>
        <v>56776</v>
      </c>
      <c r="L33" s="11">
        <f t="shared" si="4"/>
        <v>49377</v>
      </c>
      <c r="M33" s="11">
        <f t="shared" si="4"/>
        <v>42883.999999999993</v>
      </c>
      <c r="N33" s="11">
        <f t="shared" si="4"/>
        <v>37297</v>
      </c>
    </row>
    <row r="34" spans="3:14" ht="29.25" customHeight="1" x14ac:dyDescent="0.25">
      <c r="C34" s="386" t="s">
        <v>44</v>
      </c>
      <c r="D34" s="387"/>
      <c r="E34" s="387"/>
      <c r="F34" s="387"/>
      <c r="G34" s="387"/>
      <c r="H34" s="387"/>
      <c r="I34" s="387"/>
      <c r="J34" s="387"/>
      <c r="K34" s="387"/>
      <c r="L34" s="387"/>
      <c r="M34" s="387"/>
      <c r="N34" s="387"/>
    </row>
    <row r="35" spans="3:14" ht="24.75" customHeight="1" x14ac:dyDescent="0.25">
      <c r="C35" s="384" t="s">
        <v>32</v>
      </c>
      <c r="D35" s="385"/>
      <c r="E35" s="385"/>
      <c r="F35" s="385"/>
      <c r="G35" s="385"/>
      <c r="H35" s="385"/>
      <c r="I35" s="385"/>
      <c r="J35" s="385"/>
      <c r="K35" s="385"/>
      <c r="L35" s="385"/>
      <c r="M35" s="385"/>
      <c r="N35" s="385"/>
    </row>
    <row r="36" spans="3:14" ht="15.75" x14ac:dyDescent="0.25">
      <c r="C36" s="17" t="s">
        <v>40</v>
      </c>
      <c r="E36" s="14"/>
      <c r="H36" s="14">
        <f>IRR(D31:N31)</f>
        <v>0.39908378828052204</v>
      </c>
    </row>
    <row r="37" spans="3:14" ht="15.75" x14ac:dyDescent="0.25">
      <c r="C37" s="17" t="s">
        <v>41</v>
      </c>
      <c r="H37" s="27">
        <f>NPV(0.15,E31:N31)+D31</f>
        <v>392634.06250398897</v>
      </c>
    </row>
    <row r="38" spans="3:14" x14ac:dyDescent="0.25">
      <c r="C38" s="383" t="s">
        <v>43</v>
      </c>
      <c r="D38" s="360"/>
      <c r="E38" s="360"/>
      <c r="F38" s="360"/>
      <c r="G38" s="360"/>
      <c r="H38" s="16">
        <f>+NPV(0.15,E8:N8) / (NPV(0.15,E12:N12)+D13)</f>
        <v>1.2323065527913377</v>
      </c>
    </row>
    <row r="42" spans="3:14" x14ac:dyDescent="0.25">
      <c r="D42" s="16"/>
    </row>
  </sheetData>
  <mergeCells count="8">
    <mergeCell ref="C35:N35"/>
    <mergeCell ref="C38:G38"/>
    <mergeCell ref="C1:N1"/>
    <mergeCell ref="C2:N2"/>
    <mergeCell ref="C4:N4"/>
    <mergeCell ref="C5:N5"/>
    <mergeCell ref="C6:N6"/>
    <mergeCell ref="C34:N34"/>
  </mergeCells>
  <pageMargins left="0.7" right="0.7" top="0.75" bottom="0.75" header="0.3" footer="0.3"/>
  <pageSetup paperSize="12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workbookViewId="0">
      <selection sqref="A1:R15"/>
    </sheetView>
  </sheetViews>
  <sheetFormatPr baseColWidth="10" defaultRowHeight="15" x14ac:dyDescent="0.25"/>
  <cols>
    <col min="1" max="1" width="25.42578125" customWidth="1"/>
    <col min="2" max="2" width="13.7109375" customWidth="1"/>
    <col min="3" max="3" width="15.5703125" customWidth="1"/>
    <col min="4" max="4" width="12.42578125" customWidth="1"/>
    <col min="5" max="17" width="8.7109375" customWidth="1"/>
    <col min="18" max="18" width="23.85546875" customWidth="1"/>
  </cols>
  <sheetData>
    <row r="1" spans="1:18" ht="14.45" customHeight="1" x14ac:dyDescent="0.25">
      <c r="A1" s="394" t="s">
        <v>277</v>
      </c>
      <c r="B1" s="395"/>
      <c r="C1" s="395"/>
      <c r="D1" s="395"/>
      <c r="E1" s="395"/>
      <c r="F1" s="395"/>
      <c r="G1" s="395"/>
      <c r="H1" s="395"/>
      <c r="I1" s="395"/>
      <c r="J1" s="395"/>
      <c r="K1" s="395"/>
      <c r="L1" s="395"/>
      <c r="M1" s="395"/>
      <c r="N1" s="395"/>
      <c r="O1" s="395"/>
      <c r="P1" s="395"/>
      <c r="Q1" s="395"/>
      <c r="R1" s="395"/>
    </row>
    <row r="2" spans="1:18" ht="6.6" customHeight="1" x14ac:dyDescent="0.25">
      <c r="A2" s="396"/>
      <c r="B2" s="397"/>
      <c r="C2" s="397"/>
      <c r="D2" s="397"/>
      <c r="E2" s="397"/>
      <c r="F2" s="397"/>
      <c r="G2" s="397"/>
      <c r="H2" s="397"/>
      <c r="I2" s="397"/>
      <c r="J2" s="397"/>
      <c r="K2" s="397"/>
      <c r="L2" s="397"/>
      <c r="M2" s="397"/>
      <c r="N2" s="397"/>
      <c r="O2" s="397"/>
      <c r="P2" s="397"/>
      <c r="Q2" s="397"/>
      <c r="R2" s="398"/>
    </row>
    <row r="3" spans="1:18" ht="25.5" x14ac:dyDescent="0.25">
      <c r="A3" s="76" t="s">
        <v>175</v>
      </c>
      <c r="B3" s="77" t="s">
        <v>176</v>
      </c>
      <c r="C3" s="77" t="s">
        <v>177</v>
      </c>
      <c r="D3" s="399" t="s">
        <v>290</v>
      </c>
      <c r="E3" s="401" t="s">
        <v>278</v>
      </c>
      <c r="F3" s="401" t="s">
        <v>279</v>
      </c>
      <c r="G3" s="401" t="s">
        <v>280</v>
      </c>
      <c r="H3" s="401" t="s">
        <v>281</v>
      </c>
      <c r="I3" s="401" t="s">
        <v>282</v>
      </c>
      <c r="J3" s="401" t="s">
        <v>283</v>
      </c>
      <c r="K3" s="403" t="s">
        <v>284</v>
      </c>
      <c r="L3" s="403" t="s">
        <v>285</v>
      </c>
      <c r="M3" s="403" t="s">
        <v>286</v>
      </c>
      <c r="N3" s="403" t="s">
        <v>287</v>
      </c>
      <c r="O3" s="403" t="s">
        <v>288</v>
      </c>
      <c r="P3" s="403" t="s">
        <v>289</v>
      </c>
      <c r="Q3" s="404" t="s">
        <v>291</v>
      </c>
      <c r="R3" s="399" t="s">
        <v>178</v>
      </c>
    </row>
    <row r="4" spans="1:18" ht="24" x14ac:dyDescent="0.25">
      <c r="A4" s="79" t="s">
        <v>179</v>
      </c>
      <c r="B4" s="80"/>
      <c r="C4" s="80" t="s">
        <v>180</v>
      </c>
      <c r="D4" s="400"/>
      <c r="E4" s="402"/>
      <c r="F4" s="402"/>
      <c r="G4" s="402"/>
      <c r="H4" s="402"/>
      <c r="I4" s="402"/>
      <c r="J4" s="402"/>
      <c r="K4" s="402"/>
      <c r="L4" s="402"/>
      <c r="M4" s="402"/>
      <c r="N4" s="402"/>
      <c r="O4" s="402"/>
      <c r="P4" s="402"/>
      <c r="Q4" s="405"/>
      <c r="R4" s="400"/>
    </row>
    <row r="5" spans="1:18" ht="45" x14ac:dyDescent="0.25">
      <c r="A5" s="81" t="s">
        <v>181</v>
      </c>
      <c r="B5" s="82" t="s">
        <v>182</v>
      </c>
      <c r="C5" s="82" t="s">
        <v>180</v>
      </c>
      <c r="D5" s="83">
        <v>21000</v>
      </c>
      <c r="E5" s="93"/>
      <c r="F5" s="93"/>
      <c r="G5" s="262">
        <v>21000</v>
      </c>
      <c r="H5" s="262"/>
      <c r="I5" s="262"/>
      <c r="J5" s="262"/>
      <c r="K5" s="262"/>
      <c r="L5" s="262"/>
      <c r="M5" s="262"/>
      <c r="N5" s="83"/>
      <c r="O5" s="83"/>
      <c r="P5" s="83"/>
      <c r="Q5" s="251">
        <f>SUM(E5:P5)</f>
        <v>21000</v>
      </c>
      <c r="R5" s="85" t="s">
        <v>183</v>
      </c>
    </row>
    <row r="6" spans="1:18" ht="36" x14ac:dyDescent="0.25">
      <c r="A6" s="86" t="s">
        <v>184</v>
      </c>
      <c r="B6" s="82" t="s">
        <v>185</v>
      </c>
      <c r="C6" s="82" t="s">
        <v>180</v>
      </c>
      <c r="D6" s="87">
        <v>750</v>
      </c>
      <c r="E6" s="262"/>
      <c r="F6" s="262">
        <v>100</v>
      </c>
      <c r="G6" s="262">
        <v>100</v>
      </c>
      <c r="H6" s="262">
        <v>100</v>
      </c>
      <c r="I6" s="264">
        <v>200</v>
      </c>
      <c r="J6" s="262">
        <v>250</v>
      </c>
      <c r="K6" s="262"/>
      <c r="L6" s="262"/>
      <c r="M6" s="262"/>
      <c r="N6" s="262"/>
      <c r="O6" s="262"/>
      <c r="P6" s="262"/>
      <c r="Q6" s="251">
        <f>SUM(E6:P6)</f>
        <v>750</v>
      </c>
      <c r="R6" s="88" t="s">
        <v>186</v>
      </c>
    </row>
    <row r="7" spans="1:18" ht="63.75" x14ac:dyDescent="0.25">
      <c r="A7" s="89" t="s">
        <v>187</v>
      </c>
      <c r="B7" s="90"/>
      <c r="C7" s="91" t="s">
        <v>188</v>
      </c>
      <c r="D7" s="259" t="s">
        <v>290</v>
      </c>
      <c r="E7" s="256" t="s">
        <v>278</v>
      </c>
      <c r="F7" s="256" t="s">
        <v>279</v>
      </c>
      <c r="G7" s="256" t="s">
        <v>280</v>
      </c>
      <c r="H7" s="256" t="s">
        <v>281</v>
      </c>
      <c r="I7" s="256" t="s">
        <v>282</v>
      </c>
      <c r="J7" s="256" t="s">
        <v>283</v>
      </c>
      <c r="K7" s="257" t="s">
        <v>284</v>
      </c>
      <c r="L7" s="257" t="s">
        <v>285</v>
      </c>
      <c r="M7" s="257" t="s">
        <v>286</v>
      </c>
      <c r="N7" s="257" t="s">
        <v>287</v>
      </c>
      <c r="O7" s="257" t="s">
        <v>288</v>
      </c>
      <c r="P7" s="257" t="s">
        <v>289</v>
      </c>
      <c r="Q7" s="258" t="s">
        <v>291</v>
      </c>
      <c r="R7" s="78" t="s">
        <v>178</v>
      </c>
    </row>
    <row r="8" spans="1:18" ht="45" x14ac:dyDescent="0.25">
      <c r="A8" s="84" t="s">
        <v>189</v>
      </c>
      <c r="B8" s="92" t="s">
        <v>190</v>
      </c>
      <c r="C8" s="92" t="s">
        <v>191</v>
      </c>
      <c r="D8" s="93">
        <v>24000</v>
      </c>
      <c r="E8" s="262"/>
      <c r="F8" s="262"/>
      <c r="G8" s="262"/>
      <c r="H8" s="262">
        <v>24000</v>
      </c>
      <c r="I8" s="262"/>
      <c r="J8" s="262"/>
      <c r="K8" s="83"/>
      <c r="L8" s="83"/>
      <c r="M8" s="83"/>
      <c r="N8" s="83"/>
      <c r="O8" s="83"/>
      <c r="P8" s="83"/>
      <c r="Q8" s="252">
        <f>SUM(E8:P8)</f>
        <v>24000</v>
      </c>
      <c r="R8" s="94" t="s">
        <v>192</v>
      </c>
    </row>
    <row r="9" spans="1:18" ht="57" x14ac:dyDescent="0.25">
      <c r="A9" s="86" t="s">
        <v>193</v>
      </c>
      <c r="B9" s="82" t="s">
        <v>194</v>
      </c>
      <c r="C9" s="95" t="s">
        <v>195</v>
      </c>
      <c r="D9" s="96">
        <v>5400</v>
      </c>
      <c r="E9" s="83"/>
      <c r="F9" s="262"/>
      <c r="G9" s="262">
        <v>2000</v>
      </c>
      <c r="H9" s="262">
        <v>2500</v>
      </c>
      <c r="I9" s="262">
        <v>1000</v>
      </c>
      <c r="J9" s="262"/>
      <c r="K9" s="262"/>
      <c r="L9" s="262"/>
      <c r="M9" s="83"/>
      <c r="N9" s="83"/>
      <c r="O9" s="83"/>
      <c r="P9" s="83"/>
      <c r="Q9" s="252">
        <f>SUM(E9:P9)</f>
        <v>5500</v>
      </c>
      <c r="R9" s="97" t="s">
        <v>196</v>
      </c>
    </row>
    <row r="10" spans="1:18" ht="63.75" x14ac:dyDescent="0.25">
      <c r="A10" s="98" t="s">
        <v>197</v>
      </c>
      <c r="B10" s="99"/>
      <c r="C10" s="100" t="s">
        <v>188</v>
      </c>
      <c r="D10" s="259" t="s">
        <v>290</v>
      </c>
      <c r="E10" s="256" t="s">
        <v>278</v>
      </c>
      <c r="F10" s="256" t="s">
        <v>279</v>
      </c>
      <c r="G10" s="256" t="s">
        <v>280</v>
      </c>
      <c r="H10" s="256" t="s">
        <v>281</v>
      </c>
      <c r="I10" s="256" t="s">
        <v>282</v>
      </c>
      <c r="J10" s="256" t="s">
        <v>283</v>
      </c>
      <c r="K10" s="257" t="s">
        <v>284</v>
      </c>
      <c r="L10" s="257" t="s">
        <v>285</v>
      </c>
      <c r="M10" s="257" t="s">
        <v>286</v>
      </c>
      <c r="N10" s="257" t="s">
        <v>287</v>
      </c>
      <c r="O10" s="257" t="s">
        <v>288</v>
      </c>
      <c r="P10" s="257" t="s">
        <v>289</v>
      </c>
      <c r="Q10" s="258" t="s">
        <v>291</v>
      </c>
      <c r="R10" s="78" t="s">
        <v>178</v>
      </c>
    </row>
    <row r="11" spans="1:18" ht="24" x14ac:dyDescent="0.25">
      <c r="A11" s="86" t="s">
        <v>198</v>
      </c>
      <c r="B11" s="82" t="s">
        <v>194</v>
      </c>
      <c r="C11" s="95" t="s">
        <v>199</v>
      </c>
      <c r="D11" s="93">
        <v>3600</v>
      </c>
      <c r="E11" s="83"/>
      <c r="F11" s="83"/>
      <c r="G11" s="262">
        <v>1000</v>
      </c>
      <c r="H11" s="262">
        <v>1000</v>
      </c>
      <c r="I11" s="262">
        <v>1000</v>
      </c>
      <c r="J11" s="262">
        <v>300</v>
      </c>
      <c r="K11" s="262">
        <v>300</v>
      </c>
      <c r="L11" s="262"/>
      <c r="M11" s="262"/>
      <c r="N11" s="262"/>
      <c r="O11" s="83"/>
      <c r="P11" s="83"/>
      <c r="Q11" s="252">
        <f>SUM(E11:P11)</f>
        <v>3600</v>
      </c>
      <c r="R11" s="94" t="s">
        <v>200</v>
      </c>
    </row>
    <row r="12" spans="1:18" ht="63.75" x14ac:dyDescent="0.25">
      <c r="A12" s="101" t="s">
        <v>201</v>
      </c>
      <c r="B12" s="102"/>
      <c r="C12" s="103" t="s">
        <v>199</v>
      </c>
      <c r="D12" s="259" t="s">
        <v>290</v>
      </c>
      <c r="E12" s="256" t="s">
        <v>278</v>
      </c>
      <c r="F12" s="256" t="s">
        <v>279</v>
      </c>
      <c r="G12" s="256" t="s">
        <v>280</v>
      </c>
      <c r="H12" s="256" t="s">
        <v>281</v>
      </c>
      <c r="I12" s="256" t="s">
        <v>282</v>
      </c>
      <c r="J12" s="256" t="s">
        <v>283</v>
      </c>
      <c r="K12" s="257" t="s">
        <v>284</v>
      </c>
      <c r="L12" s="257" t="s">
        <v>285</v>
      </c>
      <c r="M12" s="257" t="s">
        <v>286</v>
      </c>
      <c r="N12" s="257" t="s">
        <v>287</v>
      </c>
      <c r="O12" s="257" t="s">
        <v>288</v>
      </c>
      <c r="P12" s="257" t="s">
        <v>289</v>
      </c>
      <c r="Q12" s="258" t="s">
        <v>291</v>
      </c>
      <c r="R12" s="78" t="s">
        <v>178</v>
      </c>
    </row>
    <row r="13" spans="1:18" ht="45.75" x14ac:dyDescent="0.25">
      <c r="A13" s="81" t="s">
        <v>202</v>
      </c>
      <c r="B13" s="104" t="s">
        <v>203</v>
      </c>
      <c r="C13" s="95" t="s">
        <v>199</v>
      </c>
      <c r="D13" s="87">
        <v>12000</v>
      </c>
      <c r="E13" s="254"/>
      <c r="F13" s="254"/>
      <c r="G13" s="254"/>
      <c r="H13" s="254"/>
      <c r="I13" s="254"/>
      <c r="J13" s="254"/>
      <c r="K13" s="255"/>
      <c r="L13" s="263">
        <v>12000</v>
      </c>
      <c r="M13" s="263"/>
      <c r="N13" s="263"/>
      <c r="O13" s="263"/>
      <c r="P13" s="263"/>
      <c r="Q13" s="253">
        <f>SUM(E13:P13)</f>
        <v>12000</v>
      </c>
      <c r="R13" s="105" t="s">
        <v>204</v>
      </c>
    </row>
    <row r="15" spans="1:18" x14ac:dyDescent="0.25">
      <c r="C15" s="260" t="s">
        <v>292</v>
      </c>
      <c r="D15" s="261"/>
      <c r="E15" s="261"/>
      <c r="F15" s="261"/>
    </row>
  </sheetData>
  <mergeCells count="17">
    <mergeCell ref="R3:R4"/>
    <mergeCell ref="A1:R1"/>
    <mergeCell ref="A2:R2"/>
    <mergeCell ref="D3:D4"/>
    <mergeCell ref="E3:E4"/>
    <mergeCell ref="F3:F4"/>
    <mergeCell ref="G3:G4"/>
    <mergeCell ref="H3:H4"/>
    <mergeCell ref="I3:I4"/>
    <mergeCell ref="J3:J4"/>
    <mergeCell ref="K3:K4"/>
    <mergeCell ref="L3:L4"/>
    <mergeCell ref="M3:M4"/>
    <mergeCell ref="N3:N4"/>
    <mergeCell ref="O3:O4"/>
    <mergeCell ref="P3:P4"/>
    <mergeCell ref="Q3:Q4"/>
  </mergeCells>
  <pageMargins left="0.7" right="0.7" top="0.75" bottom="0.75" header="0.3" footer="0.3"/>
  <pageSetup paperSize="12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F55"/>
  <sheetViews>
    <sheetView tabSelected="1" topLeftCell="A19" zoomScale="80" zoomScaleNormal="80" workbookViewId="0">
      <selection activeCell="C43" sqref="C43"/>
    </sheetView>
  </sheetViews>
  <sheetFormatPr baseColWidth="10" defaultRowHeight="15" x14ac:dyDescent="0.25"/>
  <cols>
    <col min="1" max="1" width="3.42578125" customWidth="1"/>
    <col min="2" max="2" width="57.28515625" bestFit="1" customWidth="1"/>
    <col min="3" max="3" width="18.42578125" customWidth="1"/>
    <col min="4" max="4" width="19.28515625" customWidth="1"/>
    <col min="5" max="5" width="16.42578125" customWidth="1"/>
    <col min="6" max="8" width="16.28515625" bestFit="1" customWidth="1"/>
    <col min="9" max="9" width="22" customWidth="1"/>
    <col min="10" max="10" width="21.7109375" customWidth="1"/>
  </cols>
  <sheetData>
    <row r="1" spans="2:344" ht="54.95" customHeight="1" x14ac:dyDescent="0.7">
      <c r="B1" s="407" t="s">
        <v>205</v>
      </c>
      <c r="C1" s="407"/>
      <c r="D1" s="407"/>
      <c r="E1" s="407"/>
      <c r="F1" s="407"/>
      <c r="G1" s="407"/>
      <c r="H1" s="407"/>
    </row>
    <row r="2" spans="2:344" ht="32.25" thickBot="1" x14ac:dyDescent="0.55000000000000004">
      <c r="B2" s="408" t="s">
        <v>206</v>
      </c>
      <c r="C2" s="408"/>
      <c r="D2" s="408"/>
      <c r="E2" s="408"/>
      <c r="F2" s="408"/>
      <c r="G2" s="408"/>
      <c r="H2" s="408"/>
      <c r="I2" s="106"/>
      <c r="J2" s="107"/>
      <c r="K2" s="107"/>
      <c r="L2" s="107"/>
      <c r="M2" s="107"/>
      <c r="N2" s="107"/>
      <c r="O2" s="107"/>
      <c r="P2" s="107"/>
      <c r="Q2" s="107"/>
      <c r="R2" s="107"/>
    </row>
    <row r="3" spans="2:344" x14ac:dyDescent="0.25">
      <c r="B3" s="409" t="s">
        <v>207</v>
      </c>
      <c r="C3" s="411" t="s">
        <v>1</v>
      </c>
      <c r="D3" s="413" t="s">
        <v>2</v>
      </c>
      <c r="E3" s="413" t="s">
        <v>3</v>
      </c>
      <c r="F3" s="413" t="s">
        <v>34</v>
      </c>
      <c r="G3" s="413" t="s">
        <v>35</v>
      </c>
      <c r="H3" s="415" t="s">
        <v>36</v>
      </c>
      <c r="I3" s="406"/>
      <c r="J3" s="107"/>
      <c r="K3" s="107"/>
      <c r="L3" s="107"/>
      <c r="M3" s="107"/>
      <c r="N3" s="107"/>
      <c r="O3" s="107"/>
      <c r="P3" s="107"/>
      <c r="Q3" s="107"/>
      <c r="R3" s="107"/>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8"/>
      <c r="CA3" s="108"/>
      <c r="CB3" s="108"/>
      <c r="CC3" s="108"/>
      <c r="CD3" s="108"/>
      <c r="CE3" s="108"/>
      <c r="CF3" s="108"/>
      <c r="CG3" s="108"/>
      <c r="CH3" s="108"/>
      <c r="CI3" s="108"/>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c r="DJ3" s="108"/>
      <c r="DK3" s="108"/>
      <c r="DL3" s="108"/>
      <c r="DM3" s="108"/>
      <c r="DN3" s="108"/>
      <c r="DO3" s="108"/>
      <c r="DP3" s="108"/>
      <c r="DQ3" s="108"/>
      <c r="DR3" s="108"/>
      <c r="DS3" s="108"/>
      <c r="DT3" s="108"/>
      <c r="DU3" s="108"/>
      <c r="DV3" s="108"/>
      <c r="DW3" s="108"/>
      <c r="DX3" s="108"/>
      <c r="DY3" s="108"/>
      <c r="DZ3" s="108"/>
      <c r="EA3" s="108"/>
      <c r="EB3" s="108"/>
      <c r="EC3" s="108"/>
      <c r="ED3" s="108"/>
      <c r="EE3" s="108"/>
      <c r="EF3" s="108"/>
      <c r="EG3" s="108"/>
      <c r="EH3" s="108"/>
      <c r="EI3" s="108"/>
      <c r="EJ3" s="108"/>
      <c r="EK3" s="108"/>
      <c r="EL3" s="108"/>
      <c r="EM3" s="108"/>
      <c r="EN3" s="108"/>
      <c r="EO3" s="108"/>
      <c r="EP3" s="108"/>
      <c r="EQ3" s="108"/>
      <c r="ER3" s="108"/>
      <c r="ES3" s="108"/>
      <c r="ET3" s="108"/>
      <c r="EU3" s="108"/>
      <c r="EV3" s="108"/>
      <c r="EW3" s="108"/>
      <c r="EX3" s="108"/>
      <c r="EY3" s="108"/>
      <c r="EZ3" s="108"/>
      <c r="FA3" s="108"/>
      <c r="FB3" s="108"/>
      <c r="FC3" s="108"/>
      <c r="FD3" s="108"/>
      <c r="FE3" s="108"/>
      <c r="FF3" s="108"/>
      <c r="FG3" s="108"/>
      <c r="FH3" s="108"/>
      <c r="FI3" s="108"/>
      <c r="FJ3" s="108"/>
      <c r="FK3" s="108"/>
      <c r="FL3" s="108"/>
      <c r="FM3" s="108"/>
      <c r="FN3" s="108"/>
      <c r="FO3" s="108"/>
      <c r="FP3" s="108"/>
      <c r="FQ3" s="108"/>
      <c r="FR3" s="108"/>
      <c r="FS3" s="108"/>
      <c r="FT3" s="108"/>
      <c r="FU3" s="108"/>
      <c r="FV3" s="108"/>
      <c r="FW3" s="108"/>
      <c r="FX3" s="108"/>
      <c r="FY3" s="108"/>
      <c r="FZ3" s="108"/>
      <c r="GA3" s="108"/>
      <c r="GB3" s="108"/>
      <c r="GC3" s="108"/>
      <c r="GD3" s="108"/>
      <c r="GE3" s="108"/>
      <c r="GF3" s="108"/>
      <c r="GG3" s="108"/>
      <c r="GH3" s="108"/>
      <c r="GI3" s="108"/>
      <c r="GJ3" s="108"/>
      <c r="GK3" s="108"/>
      <c r="GL3" s="108"/>
      <c r="GM3" s="108"/>
      <c r="GN3" s="108"/>
      <c r="GO3" s="108"/>
      <c r="GP3" s="108"/>
      <c r="GQ3" s="108"/>
      <c r="GR3" s="108"/>
      <c r="GS3" s="108"/>
      <c r="GT3" s="108"/>
      <c r="GU3" s="108"/>
      <c r="GV3" s="108"/>
      <c r="GW3" s="108"/>
      <c r="GX3" s="108"/>
      <c r="GY3" s="108"/>
      <c r="GZ3" s="108"/>
      <c r="HA3" s="108"/>
      <c r="HB3" s="108"/>
      <c r="HC3" s="108"/>
      <c r="HD3" s="108"/>
      <c r="HE3" s="108"/>
      <c r="HF3" s="108"/>
      <c r="HG3" s="108"/>
      <c r="HH3" s="108"/>
      <c r="HI3" s="108"/>
      <c r="HJ3" s="108"/>
      <c r="HK3" s="108"/>
      <c r="HL3" s="108"/>
      <c r="HM3" s="108"/>
      <c r="HN3" s="108"/>
      <c r="HO3" s="108"/>
      <c r="HP3" s="108"/>
      <c r="HQ3" s="108"/>
      <c r="HR3" s="108"/>
      <c r="HS3" s="108"/>
      <c r="HT3" s="108"/>
      <c r="HU3" s="108"/>
      <c r="HV3" s="108"/>
      <c r="HW3" s="108"/>
      <c r="HX3" s="108"/>
      <c r="HY3" s="108"/>
      <c r="HZ3" s="108"/>
      <c r="IA3" s="108"/>
      <c r="IB3" s="108"/>
      <c r="IC3" s="108"/>
      <c r="ID3" s="108"/>
      <c r="IE3" s="108"/>
      <c r="IF3" s="108"/>
      <c r="IG3" s="108"/>
      <c r="IH3" s="108"/>
      <c r="II3" s="108"/>
      <c r="IJ3" s="108"/>
      <c r="IK3" s="108"/>
      <c r="IL3" s="108"/>
      <c r="IM3" s="108"/>
      <c r="IN3" s="108"/>
      <c r="IO3" s="108"/>
      <c r="IP3" s="108"/>
      <c r="IQ3" s="108"/>
      <c r="IR3" s="108"/>
      <c r="IS3" s="108"/>
      <c r="IT3" s="108"/>
      <c r="IU3" s="108"/>
      <c r="IV3" s="108"/>
      <c r="IW3" s="108"/>
      <c r="IX3" s="108"/>
      <c r="IY3" s="108"/>
      <c r="IZ3" s="108"/>
      <c r="JA3" s="108"/>
      <c r="JB3" s="108"/>
      <c r="JC3" s="108"/>
      <c r="JD3" s="108"/>
      <c r="JE3" s="108"/>
      <c r="JF3" s="108"/>
      <c r="JG3" s="108"/>
      <c r="JH3" s="108"/>
      <c r="JI3" s="108"/>
      <c r="JJ3" s="108"/>
      <c r="JK3" s="108"/>
      <c r="JL3" s="108"/>
      <c r="JM3" s="108"/>
      <c r="JN3" s="108"/>
      <c r="JO3" s="108"/>
      <c r="JP3" s="108"/>
      <c r="JQ3" s="108"/>
      <c r="JR3" s="108"/>
      <c r="JS3" s="108"/>
      <c r="JT3" s="108"/>
      <c r="JU3" s="108"/>
      <c r="JV3" s="108"/>
      <c r="JW3" s="108"/>
      <c r="JX3" s="108"/>
      <c r="JY3" s="108"/>
      <c r="JZ3" s="108"/>
      <c r="KA3" s="108"/>
      <c r="KB3" s="108"/>
      <c r="KC3" s="108"/>
      <c r="KD3" s="108"/>
      <c r="KE3" s="108"/>
      <c r="KF3" s="108"/>
      <c r="KG3" s="108"/>
      <c r="KH3" s="108"/>
      <c r="KI3" s="108"/>
      <c r="KJ3" s="108"/>
      <c r="KK3" s="108"/>
      <c r="KL3" s="108"/>
      <c r="KM3" s="108"/>
      <c r="KN3" s="108"/>
      <c r="KO3" s="108"/>
      <c r="KP3" s="108"/>
      <c r="KQ3" s="108"/>
      <c r="KR3" s="108"/>
      <c r="KS3" s="108"/>
      <c r="KT3" s="108"/>
      <c r="KU3" s="108"/>
      <c r="KV3" s="108"/>
      <c r="KW3" s="108"/>
      <c r="KX3" s="108"/>
      <c r="KY3" s="108"/>
      <c r="KZ3" s="108"/>
      <c r="LA3" s="108"/>
      <c r="LB3" s="108"/>
      <c r="LC3" s="108"/>
      <c r="LD3" s="108"/>
      <c r="LE3" s="108"/>
      <c r="LF3" s="108"/>
      <c r="LG3" s="108"/>
      <c r="LH3" s="108"/>
      <c r="LI3" s="108"/>
      <c r="LJ3" s="108"/>
      <c r="LK3" s="108"/>
      <c r="LL3" s="108"/>
      <c r="LM3" s="108"/>
      <c r="LN3" s="108"/>
      <c r="LO3" s="108"/>
      <c r="LP3" s="108"/>
      <c r="LQ3" s="108"/>
      <c r="LR3" s="108"/>
      <c r="LS3" s="108"/>
      <c r="LT3" s="108"/>
      <c r="LU3" s="108"/>
      <c r="LV3" s="108"/>
      <c r="LW3" s="108"/>
      <c r="LX3" s="108"/>
      <c r="LY3" s="108"/>
      <c r="LZ3" s="108"/>
      <c r="MA3" s="108"/>
      <c r="MB3" s="108"/>
      <c r="MC3" s="108"/>
      <c r="MD3" s="108"/>
      <c r="ME3" s="108"/>
      <c r="MF3" s="108"/>
    </row>
    <row r="4" spans="2:344" ht="15.75" thickBot="1" x14ac:dyDescent="0.3">
      <c r="B4" s="410"/>
      <c r="C4" s="412"/>
      <c r="D4" s="414"/>
      <c r="E4" s="414"/>
      <c r="F4" s="414"/>
      <c r="G4" s="414"/>
      <c r="H4" s="416"/>
      <c r="I4" s="406"/>
      <c r="J4" s="109"/>
      <c r="K4" s="109"/>
      <c r="L4" s="109"/>
      <c r="M4" s="109"/>
      <c r="N4" s="109"/>
      <c r="O4" s="109"/>
      <c r="P4" s="109"/>
      <c r="Q4" s="109"/>
      <c r="R4" s="109"/>
      <c r="S4" s="110"/>
      <c r="T4" s="110"/>
      <c r="U4" s="110"/>
      <c r="V4" s="110"/>
      <c r="W4" s="110"/>
      <c r="X4" s="110"/>
      <c r="Y4" s="110"/>
    </row>
    <row r="5" spans="2:344" ht="21" x14ac:dyDescent="0.35">
      <c r="B5" s="111" t="s">
        <v>208</v>
      </c>
      <c r="C5" s="112">
        <f>SUM(C6:C9)</f>
        <v>-768000</v>
      </c>
      <c r="D5" s="113"/>
      <c r="E5" s="113"/>
      <c r="F5" s="113"/>
      <c r="G5" s="113"/>
      <c r="H5" s="114"/>
      <c r="I5" s="115"/>
      <c r="J5" s="107"/>
      <c r="K5" s="107"/>
      <c r="L5" s="107"/>
      <c r="M5" s="107"/>
      <c r="N5" s="107"/>
      <c r="O5" s="107"/>
      <c r="P5" s="107"/>
      <c r="Q5" s="107"/>
      <c r="R5" s="107"/>
    </row>
    <row r="6" spans="2:344" ht="21" x14ac:dyDescent="0.35">
      <c r="B6" s="116" t="s">
        <v>209</v>
      </c>
      <c r="C6" s="117">
        <v>-640000</v>
      </c>
      <c r="D6" s="118"/>
      <c r="E6" s="118"/>
      <c r="F6" s="118"/>
      <c r="G6" s="118"/>
      <c r="H6" s="119"/>
      <c r="I6" s="115"/>
      <c r="J6" s="107"/>
      <c r="K6" s="107"/>
      <c r="L6" s="107"/>
      <c r="M6" s="107"/>
      <c r="N6" s="107"/>
      <c r="O6" s="107"/>
      <c r="P6" s="107"/>
      <c r="Q6" s="107"/>
      <c r="R6" s="107"/>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row>
    <row r="7" spans="2:344" ht="21" x14ac:dyDescent="0.35">
      <c r="B7" s="116" t="s">
        <v>210</v>
      </c>
      <c r="C7" s="117">
        <v>-20000</v>
      </c>
      <c r="D7" s="118"/>
      <c r="E7" s="118"/>
      <c r="F7" s="118"/>
      <c r="G7" s="118"/>
      <c r="H7" s="119"/>
      <c r="I7" s="115"/>
      <c r="J7" s="107"/>
      <c r="K7" s="107"/>
      <c r="L7" s="107"/>
      <c r="M7" s="107"/>
      <c r="N7" s="107"/>
      <c r="O7" s="107"/>
      <c r="P7" s="107"/>
      <c r="Q7" s="107"/>
      <c r="R7" s="107"/>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row>
    <row r="8" spans="2:344" ht="21" x14ac:dyDescent="0.35">
      <c r="B8" s="121" t="s">
        <v>211</v>
      </c>
      <c r="C8" s="117">
        <v>-108000</v>
      </c>
      <c r="D8" s="118"/>
      <c r="E8" s="118"/>
      <c r="F8" s="118"/>
      <c r="G8" s="118"/>
      <c r="H8" s="119"/>
      <c r="I8" s="115"/>
      <c r="J8" s="107"/>
      <c r="K8" s="107"/>
      <c r="L8" s="107"/>
      <c r="M8" s="107"/>
      <c r="N8" s="107"/>
      <c r="O8" s="107"/>
      <c r="P8" s="107"/>
      <c r="Q8" s="107"/>
      <c r="R8" s="107"/>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row>
    <row r="9" spans="2:344" ht="21" customHeight="1" thickBot="1" x14ac:dyDescent="0.4">
      <c r="B9" s="122"/>
      <c r="C9" s="123"/>
      <c r="D9" s="124"/>
      <c r="E9" s="124"/>
      <c r="F9" s="124"/>
      <c r="G9" s="124"/>
      <c r="H9" s="125"/>
      <c r="I9" s="115"/>
      <c r="J9" s="107"/>
      <c r="K9" s="107"/>
      <c r="L9" s="107"/>
      <c r="M9" s="107"/>
      <c r="N9" s="107"/>
      <c r="O9" s="107"/>
      <c r="P9" s="107"/>
      <c r="Q9" s="107"/>
      <c r="R9" s="107"/>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row>
    <row r="10" spans="2:344" ht="21.75" thickBot="1" x14ac:dyDescent="0.4">
      <c r="B10" s="126" t="s">
        <v>212</v>
      </c>
      <c r="C10" s="127"/>
      <c r="D10" s="127">
        <f t="shared" ref="D10:H10" si="0">D11+D21+D24+D26</f>
        <v>-1477584.689459634</v>
      </c>
      <c r="E10" s="127">
        <f t="shared" si="0"/>
        <v>-1477584.689459634</v>
      </c>
      <c r="F10" s="127">
        <f t="shared" si="0"/>
        <v>-1477584.689459634</v>
      </c>
      <c r="G10" s="127">
        <f t="shared" si="0"/>
        <v>-1477584.689459634</v>
      </c>
      <c r="H10" s="128">
        <f t="shared" si="0"/>
        <v>-985056.45963975589</v>
      </c>
      <c r="I10" s="129"/>
      <c r="J10" s="107"/>
      <c r="K10" s="107"/>
      <c r="L10" s="107"/>
      <c r="M10" s="107"/>
      <c r="N10" s="107"/>
      <c r="O10" s="107"/>
      <c r="P10" s="107"/>
      <c r="Q10" s="107"/>
      <c r="R10" s="107"/>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row>
    <row r="11" spans="2:344" ht="23.25" x14ac:dyDescent="0.35">
      <c r="B11" s="130" t="s">
        <v>213</v>
      </c>
      <c r="C11" s="131"/>
      <c r="D11" s="132">
        <f t="shared" ref="D11:H11" si="1">SUM(D12+D18)</f>
        <v>-1435754.1951274076</v>
      </c>
      <c r="E11" s="132">
        <f t="shared" si="1"/>
        <v>-1435754.1951274076</v>
      </c>
      <c r="F11" s="132">
        <f t="shared" si="1"/>
        <v>-1435754.1951274076</v>
      </c>
      <c r="G11" s="132">
        <f t="shared" si="1"/>
        <v>-1435754.1951274076</v>
      </c>
      <c r="H11" s="133">
        <f t="shared" si="1"/>
        <v>-957169.46341827163</v>
      </c>
      <c r="I11" s="129"/>
      <c r="J11" s="107"/>
      <c r="K11" s="107"/>
      <c r="L11" s="107"/>
      <c r="M11" s="107"/>
      <c r="N11" s="107"/>
      <c r="O11" s="107"/>
      <c r="P11" s="107"/>
      <c r="Q11" s="107"/>
      <c r="R11" s="107"/>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row>
    <row r="12" spans="2:344" ht="21" x14ac:dyDescent="0.35">
      <c r="B12" s="134" t="s">
        <v>214</v>
      </c>
      <c r="C12" s="135"/>
      <c r="D12" s="118">
        <v>-1435754.1951274076</v>
      </c>
      <c r="E12" s="118">
        <v>-1435754.1951274076</v>
      </c>
      <c r="F12" s="118">
        <v>-1435754.1951274076</v>
      </c>
      <c r="G12" s="118">
        <v>-1435754.1951274076</v>
      </c>
      <c r="H12" s="119">
        <v>-957169.46341827163</v>
      </c>
      <c r="I12" s="129"/>
      <c r="J12" s="107"/>
      <c r="K12" s="107"/>
      <c r="L12" s="107"/>
      <c r="M12" s="107"/>
      <c r="N12" s="107"/>
      <c r="O12" s="107"/>
      <c r="P12" s="107"/>
      <c r="Q12" s="107"/>
      <c r="R12" s="107"/>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row>
    <row r="13" spans="2:344" ht="21" x14ac:dyDescent="0.35">
      <c r="B13" s="136" t="s">
        <v>215</v>
      </c>
      <c r="C13" s="135"/>
      <c r="D13" s="118">
        <v>-1209751.5877200002</v>
      </c>
      <c r="E13" s="118">
        <v>-1209751.5877200002</v>
      </c>
      <c r="F13" s="118">
        <v>-1209751.5877200002</v>
      </c>
      <c r="G13" s="118">
        <v>-1209751.5877200002</v>
      </c>
      <c r="H13" s="119">
        <v>-806501.05848000001</v>
      </c>
      <c r="I13" s="129"/>
      <c r="J13" s="107"/>
      <c r="K13" s="107"/>
      <c r="L13" s="107"/>
      <c r="M13" s="107"/>
      <c r="N13" s="107"/>
      <c r="O13" s="107"/>
      <c r="P13" s="107"/>
      <c r="Q13" s="107"/>
      <c r="R13" s="107"/>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row>
    <row r="14" spans="2:344" ht="21" x14ac:dyDescent="0.35">
      <c r="B14" s="136" t="s">
        <v>216</v>
      </c>
      <c r="C14" s="135"/>
      <c r="D14" s="118">
        <v>-114595.19999999998</v>
      </c>
      <c r="E14" s="118">
        <v>-114595.19999999998</v>
      </c>
      <c r="F14" s="118">
        <v>-114595.19999999998</v>
      </c>
      <c r="G14" s="118">
        <v>-114595.19999999998</v>
      </c>
      <c r="H14" s="119">
        <v>-76396.799999999988</v>
      </c>
      <c r="I14" s="129"/>
      <c r="J14" s="107"/>
      <c r="K14" s="107"/>
      <c r="L14" s="107"/>
      <c r="M14" s="107"/>
      <c r="N14" s="107"/>
      <c r="O14" s="107"/>
      <c r="P14" s="107"/>
      <c r="Q14" s="107"/>
      <c r="R14" s="107"/>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row>
    <row r="15" spans="2:344" ht="21" x14ac:dyDescent="0.35">
      <c r="B15" s="137" t="s">
        <v>217</v>
      </c>
      <c r="C15" s="135"/>
      <c r="D15" s="118">
        <v>-40000</v>
      </c>
      <c r="E15" s="118">
        <v>-40000</v>
      </c>
      <c r="F15" s="118">
        <v>-40000</v>
      </c>
      <c r="G15" s="118">
        <v>-40000</v>
      </c>
      <c r="H15" s="119">
        <v>-26666.666666666668</v>
      </c>
      <c r="I15" s="129"/>
      <c r="J15" s="107"/>
      <c r="K15" s="107"/>
      <c r="L15" s="107"/>
      <c r="M15" s="107"/>
      <c r="N15" s="107"/>
      <c r="O15" s="107"/>
      <c r="P15" s="107"/>
      <c r="Q15" s="107"/>
      <c r="R15" s="107"/>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row>
    <row r="16" spans="2:344" ht="42" x14ac:dyDescent="0.35">
      <c r="B16" s="138" t="s">
        <v>218</v>
      </c>
      <c r="C16" s="135"/>
      <c r="D16" s="118">
        <v>-24000</v>
      </c>
      <c r="E16" s="118">
        <v>-24000</v>
      </c>
      <c r="F16" s="118">
        <v>-24000</v>
      </c>
      <c r="G16" s="118">
        <v>-24000</v>
      </c>
      <c r="H16" s="119">
        <v>-16000</v>
      </c>
      <c r="I16" s="129"/>
      <c r="J16" s="107"/>
      <c r="K16" s="107"/>
      <c r="L16" s="107"/>
      <c r="M16" s="107"/>
      <c r="N16" s="107"/>
      <c r="O16" s="107"/>
      <c r="P16" s="107"/>
      <c r="Q16" s="107"/>
      <c r="R16" s="107"/>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row>
    <row r="17" spans="2:57" ht="21" x14ac:dyDescent="0.35">
      <c r="B17" s="139" t="s">
        <v>219</v>
      </c>
      <c r="C17" s="135"/>
      <c r="D17" s="118">
        <v>-47407.407407407409</v>
      </c>
      <c r="E17" s="118">
        <v>-47407.407407407409</v>
      </c>
      <c r="F17" s="118">
        <v>-47407.407407407409</v>
      </c>
      <c r="G17" s="118">
        <v>-47407.407407407409</v>
      </c>
      <c r="H17" s="119">
        <v>-31604.93827160494</v>
      </c>
      <c r="I17" s="129"/>
      <c r="J17" s="107"/>
      <c r="K17" s="107"/>
      <c r="L17" s="107"/>
      <c r="M17" s="107"/>
      <c r="N17" s="107"/>
      <c r="O17" s="107"/>
      <c r="P17" s="107"/>
      <c r="Q17" s="107"/>
      <c r="R17" s="107"/>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row>
    <row r="18" spans="2:57" ht="22.7" customHeight="1" x14ac:dyDescent="0.35">
      <c r="B18" s="134" t="s">
        <v>220</v>
      </c>
      <c r="C18" s="135"/>
      <c r="D18" s="118">
        <v>0</v>
      </c>
      <c r="E18" s="118">
        <v>0</v>
      </c>
      <c r="F18" s="118">
        <v>0</v>
      </c>
      <c r="G18" s="118">
        <v>0</v>
      </c>
      <c r="H18" s="119">
        <v>0</v>
      </c>
      <c r="I18" s="129"/>
      <c r="J18" s="107"/>
      <c r="K18" s="107"/>
      <c r="L18" s="107"/>
      <c r="M18" s="107"/>
      <c r="N18" s="107"/>
      <c r="O18" s="107"/>
      <c r="P18" s="107"/>
      <c r="Q18" s="107"/>
      <c r="R18" s="107"/>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row>
    <row r="19" spans="2:57" ht="22.7" customHeight="1" x14ac:dyDescent="0.35">
      <c r="B19" s="139" t="s">
        <v>221</v>
      </c>
      <c r="C19" s="135"/>
      <c r="D19" s="30"/>
      <c r="E19" s="118"/>
      <c r="F19" s="118"/>
      <c r="G19" s="118"/>
      <c r="H19" s="119"/>
      <c r="I19" s="129"/>
      <c r="J19" s="107"/>
      <c r="K19" s="107"/>
      <c r="L19" s="107"/>
      <c r="M19" s="107"/>
      <c r="N19" s="107"/>
      <c r="O19" s="107"/>
      <c r="P19" s="107"/>
      <c r="Q19" s="107"/>
      <c r="R19" s="107"/>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row>
    <row r="20" spans="2:57" ht="22.7" customHeight="1" thickBot="1" x14ac:dyDescent="0.4">
      <c r="B20" s="139" t="s">
        <v>222</v>
      </c>
      <c r="C20" s="140"/>
      <c r="D20" s="124"/>
      <c r="E20" s="124"/>
      <c r="F20" s="124"/>
      <c r="G20" s="124"/>
      <c r="H20" s="125"/>
      <c r="I20" s="129"/>
      <c r="J20" s="107"/>
      <c r="K20" s="107"/>
      <c r="L20" s="107"/>
      <c r="M20" s="107"/>
      <c r="N20" s="107"/>
      <c r="O20" s="107"/>
      <c r="P20" s="107"/>
      <c r="Q20" s="107"/>
      <c r="R20" s="107"/>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row>
    <row r="21" spans="2:57" ht="23.25" x14ac:dyDescent="0.35">
      <c r="B21" s="141" t="s">
        <v>223</v>
      </c>
      <c r="C21" s="142"/>
      <c r="D21" s="142">
        <f t="shared" ref="D21:H21" si="2">SUM(D22:D23)</f>
        <v>-33024.208617940742</v>
      </c>
      <c r="E21" s="142">
        <f t="shared" si="2"/>
        <v>-33024.208617940742</v>
      </c>
      <c r="F21" s="142">
        <f t="shared" si="2"/>
        <v>-33024.208617940742</v>
      </c>
      <c r="G21" s="142">
        <f t="shared" si="2"/>
        <v>-33024.208617940742</v>
      </c>
      <c r="H21" s="143">
        <f t="shared" si="2"/>
        <v>-22016.139078627162</v>
      </c>
      <c r="I21" s="129"/>
      <c r="J21" s="107"/>
      <c r="K21" s="107"/>
      <c r="L21" s="107"/>
      <c r="M21" s="107"/>
      <c r="N21" s="107"/>
      <c r="O21" s="107"/>
      <c r="P21" s="107"/>
      <c r="Q21" s="107"/>
      <c r="R21" s="107"/>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row>
    <row r="22" spans="2:57" ht="21" x14ac:dyDescent="0.35">
      <c r="B22" s="144" t="s">
        <v>224</v>
      </c>
      <c r="C22" s="117"/>
      <c r="D22" s="118">
        <v>-18666.666666666668</v>
      </c>
      <c r="E22" s="118">
        <v>-18666.666666666668</v>
      </c>
      <c r="F22" s="118">
        <v>-18666.666666666668</v>
      </c>
      <c r="G22" s="118">
        <v>-18666.666666666668</v>
      </c>
      <c r="H22" s="119">
        <v>-12444.444444444445</v>
      </c>
      <c r="I22" s="129"/>
      <c r="J22" s="107"/>
      <c r="K22" s="107"/>
      <c r="L22" s="107"/>
      <c r="M22" s="107"/>
      <c r="N22" s="107"/>
      <c r="O22" s="107"/>
      <c r="P22" s="107"/>
      <c r="Q22" s="107"/>
      <c r="R22" s="107"/>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row>
    <row r="23" spans="2:57" ht="21.75" thickBot="1" x14ac:dyDescent="0.4">
      <c r="B23" s="144" t="s">
        <v>225</v>
      </c>
      <c r="C23" s="117"/>
      <c r="D23" s="118">
        <v>-14357.541951274075</v>
      </c>
      <c r="E23" s="118">
        <v>-14357.541951274075</v>
      </c>
      <c r="F23" s="118">
        <v>-14357.541951274075</v>
      </c>
      <c r="G23" s="118">
        <v>-14357.541951274075</v>
      </c>
      <c r="H23" s="119">
        <v>-9571.694634182717</v>
      </c>
      <c r="I23" s="129"/>
      <c r="J23" s="107"/>
      <c r="K23" s="107"/>
      <c r="L23" s="107"/>
      <c r="M23" s="107"/>
      <c r="N23" s="107"/>
      <c r="O23" s="107"/>
      <c r="P23" s="107"/>
      <c r="Q23" s="107"/>
      <c r="R23" s="107"/>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row>
    <row r="24" spans="2:57" ht="23.25" x14ac:dyDescent="0.35">
      <c r="B24" s="141" t="s">
        <v>226</v>
      </c>
      <c r="C24" s="117"/>
      <c r="D24" s="117">
        <f t="shared" ref="D24:H24" si="3">SUM(D25)</f>
        <v>-8806.2857142857138</v>
      </c>
      <c r="E24" s="117">
        <f t="shared" si="3"/>
        <v>-8806.2857142857138</v>
      </c>
      <c r="F24" s="117">
        <f t="shared" si="3"/>
        <v>-8806.2857142857138</v>
      </c>
      <c r="G24" s="117">
        <f t="shared" si="3"/>
        <v>-8806.2857142857138</v>
      </c>
      <c r="H24" s="145">
        <f t="shared" si="3"/>
        <v>-5870.8571428571431</v>
      </c>
      <c r="I24" s="129"/>
      <c r="J24" s="107"/>
      <c r="K24" s="107"/>
      <c r="L24" s="107"/>
      <c r="M24" s="107"/>
      <c r="N24" s="107"/>
      <c r="O24" s="107"/>
      <c r="P24" s="107"/>
      <c r="Q24" s="107"/>
      <c r="R24" s="107"/>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row>
    <row r="25" spans="2:57" ht="21.75" thickBot="1" x14ac:dyDescent="0.4">
      <c r="B25" s="144" t="s">
        <v>227</v>
      </c>
      <c r="C25" s="117"/>
      <c r="D25" s="118">
        <v>-8806.2857142857138</v>
      </c>
      <c r="E25" s="118">
        <v>-8806.2857142857138</v>
      </c>
      <c r="F25" s="118">
        <v>-8806.2857142857138</v>
      </c>
      <c r="G25" s="118">
        <v>-8806.2857142857138</v>
      </c>
      <c r="H25" s="119">
        <v>-5870.8571428571431</v>
      </c>
      <c r="I25" s="129"/>
      <c r="J25" s="107"/>
      <c r="K25" s="107"/>
      <c r="L25" s="107"/>
      <c r="M25" s="107"/>
      <c r="N25" s="107"/>
      <c r="O25" s="107"/>
      <c r="P25" s="107"/>
      <c r="Q25" s="107"/>
      <c r="R25" s="107"/>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row>
    <row r="26" spans="2:57" ht="23.25" x14ac:dyDescent="0.35">
      <c r="B26" s="141" t="s">
        <v>228</v>
      </c>
      <c r="C26" s="117">
        <f t="shared" ref="C26:H26" si="4">SUM(C27)</f>
        <v>0</v>
      </c>
      <c r="D26" s="117">
        <f t="shared" si="4"/>
        <v>0</v>
      </c>
      <c r="E26" s="117">
        <f t="shared" si="4"/>
        <v>0</v>
      </c>
      <c r="F26" s="117">
        <f t="shared" si="4"/>
        <v>0</v>
      </c>
      <c r="G26" s="117">
        <f t="shared" si="4"/>
        <v>0</v>
      </c>
      <c r="H26" s="145">
        <f t="shared" si="4"/>
        <v>0</v>
      </c>
      <c r="I26" s="129"/>
      <c r="J26" s="107"/>
      <c r="K26" s="107"/>
      <c r="L26" s="107"/>
      <c r="M26" s="107"/>
      <c r="N26" s="107"/>
      <c r="O26" s="107"/>
      <c r="P26" s="107"/>
      <c r="Q26" s="107"/>
      <c r="R26" s="107"/>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row>
    <row r="27" spans="2:57" ht="21.75" thickBot="1" x14ac:dyDescent="0.4">
      <c r="B27" s="122" t="s">
        <v>229</v>
      </c>
      <c r="C27" s="123"/>
      <c r="D27" s="124"/>
      <c r="E27" s="124"/>
      <c r="F27" s="124"/>
      <c r="G27" s="124"/>
      <c r="H27" s="125"/>
      <c r="I27" s="129"/>
      <c r="J27" s="107"/>
      <c r="K27" s="107"/>
      <c r="L27" s="107"/>
      <c r="M27" s="107"/>
      <c r="N27" s="107"/>
      <c r="O27" s="107"/>
      <c r="P27" s="107"/>
      <c r="Q27" s="107"/>
      <c r="R27" s="107"/>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row>
    <row r="28" spans="2:57" ht="21.75" thickBot="1" x14ac:dyDescent="0.4">
      <c r="B28" s="146" t="s">
        <v>230</v>
      </c>
      <c r="C28" s="147">
        <f t="shared" ref="C28:H28" si="5">SUM(C29:C31)</f>
        <v>0</v>
      </c>
      <c r="D28" s="147">
        <f t="shared" si="5"/>
        <v>620967</v>
      </c>
      <c r="E28" s="147">
        <f t="shared" si="5"/>
        <v>1761257.1428571427</v>
      </c>
      <c r="F28" s="147">
        <f t="shared" si="5"/>
        <v>1761257.1428571427</v>
      </c>
      <c r="G28" s="147">
        <f t="shared" si="5"/>
        <v>1761257.1428571427</v>
      </c>
      <c r="H28" s="148">
        <f t="shared" si="5"/>
        <v>1174171.4285714286</v>
      </c>
      <c r="I28" s="129"/>
      <c r="J28" s="107"/>
      <c r="K28" s="107"/>
      <c r="L28" s="107"/>
      <c r="M28" s="107"/>
      <c r="N28" s="107"/>
      <c r="O28" s="107"/>
      <c r="P28" s="107"/>
      <c r="Q28" s="107"/>
      <c r="R28" s="107"/>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row>
    <row r="29" spans="2:57" ht="21" x14ac:dyDescent="0.35">
      <c r="B29" s="149" t="s">
        <v>231</v>
      </c>
      <c r="C29" s="117"/>
      <c r="D29" s="118">
        <v>6400</v>
      </c>
      <c r="E29" s="118">
        <v>38400</v>
      </c>
      <c r="F29" s="118">
        <v>38400</v>
      </c>
      <c r="G29" s="118">
        <v>38400</v>
      </c>
      <c r="H29" s="119">
        <v>25600</v>
      </c>
      <c r="I29" s="129"/>
      <c r="J29" s="107"/>
      <c r="K29" s="107"/>
      <c r="L29" s="107"/>
      <c r="M29" s="107"/>
      <c r="N29" s="107"/>
      <c r="O29" s="107"/>
      <c r="P29" s="107"/>
      <c r="Q29" s="107"/>
      <c r="R29" s="107"/>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row>
    <row r="30" spans="2:57" ht="21" x14ac:dyDescent="0.35">
      <c r="B30" s="150" t="s">
        <v>232</v>
      </c>
      <c r="C30" s="117"/>
      <c r="D30" s="118">
        <v>413567</v>
      </c>
      <c r="E30" s="118">
        <v>0</v>
      </c>
      <c r="F30" s="118">
        <v>0</v>
      </c>
      <c r="G30" s="118">
        <v>0</v>
      </c>
      <c r="H30" s="119">
        <v>0</v>
      </c>
      <c r="I30" s="129"/>
      <c r="J30" s="107"/>
      <c r="K30" s="107"/>
      <c r="L30" s="107"/>
      <c r="M30" s="107"/>
      <c r="N30" s="107"/>
      <c r="O30" s="107"/>
      <c r="P30" s="107"/>
      <c r="Q30" s="107"/>
      <c r="R30" s="107"/>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row>
    <row r="31" spans="2:57" ht="21.75" thickBot="1" x14ac:dyDescent="0.4">
      <c r="B31" s="122" t="s">
        <v>233</v>
      </c>
      <c r="C31" s="123"/>
      <c r="D31" s="124">
        <v>201000</v>
      </c>
      <c r="E31" s="124">
        <v>1722857.1428571427</v>
      </c>
      <c r="F31" s="124">
        <v>1722857.1428571427</v>
      </c>
      <c r="G31" s="124">
        <v>1722857.1428571427</v>
      </c>
      <c r="H31" s="125">
        <v>1148571.4285714286</v>
      </c>
      <c r="I31" s="129"/>
      <c r="J31" s="107"/>
      <c r="K31" s="107"/>
      <c r="L31" s="107"/>
      <c r="M31" s="107"/>
      <c r="N31" s="107"/>
      <c r="O31" s="107"/>
      <c r="P31" s="107"/>
      <c r="Q31" s="107"/>
      <c r="R31" s="107"/>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row>
    <row r="32" spans="2:57" ht="21.75" thickBot="1" x14ac:dyDescent="0.4">
      <c r="B32" s="151" t="s">
        <v>234</v>
      </c>
      <c r="C32" s="152">
        <f t="shared" ref="C32:H32" si="6">C28+C10</f>
        <v>0</v>
      </c>
      <c r="D32" s="152">
        <f>D28+D10</f>
        <v>-856617.68945963401</v>
      </c>
      <c r="E32" s="152">
        <f t="shared" si="6"/>
        <v>283672.45339750871</v>
      </c>
      <c r="F32" s="152">
        <f t="shared" si="6"/>
        <v>283672.45339750871</v>
      </c>
      <c r="G32" s="152">
        <f t="shared" si="6"/>
        <v>283672.45339750871</v>
      </c>
      <c r="H32" s="153">
        <f t="shared" si="6"/>
        <v>189114.96893167275</v>
      </c>
      <c r="I32" s="129"/>
      <c r="J32" s="107"/>
      <c r="K32" s="107"/>
      <c r="L32" s="107"/>
      <c r="M32" s="107"/>
      <c r="N32" s="107"/>
      <c r="O32" s="107"/>
      <c r="P32" s="107"/>
      <c r="Q32" s="107"/>
      <c r="R32" s="107"/>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row>
    <row r="33" spans="2:57" ht="21.75" thickBot="1" x14ac:dyDescent="0.4">
      <c r="B33" s="154" t="s">
        <v>144</v>
      </c>
      <c r="C33" s="152">
        <v>0</v>
      </c>
      <c r="D33" s="155">
        <f>(0.3*D32)*-1</f>
        <v>256985.30683789018</v>
      </c>
      <c r="E33" s="155">
        <f>(0.3*E32)*-1</f>
        <v>-85101.73601925261</v>
      </c>
      <c r="F33" s="155">
        <f>(0.3*F32)*-1</f>
        <v>-85101.73601925261</v>
      </c>
      <c r="G33" s="155">
        <f>(0.3*G32)*-1</f>
        <v>-85101.73601925261</v>
      </c>
      <c r="H33" s="155">
        <f>(0.3*H32)*-1</f>
        <v>-56734.490679501825</v>
      </c>
      <c r="I33" s="129"/>
      <c r="J33" s="107"/>
      <c r="K33" s="107"/>
      <c r="L33" s="107"/>
      <c r="M33" s="107"/>
      <c r="N33" s="107"/>
      <c r="O33" s="107"/>
      <c r="P33" s="107"/>
      <c r="Q33" s="107"/>
      <c r="R33" s="107"/>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row>
    <row r="34" spans="2:57" ht="21.75" thickBot="1" x14ac:dyDescent="0.4">
      <c r="B34" s="156" t="s">
        <v>235</v>
      </c>
      <c r="C34" s="157">
        <f t="shared" ref="C34:H34" si="7">SUM(C32:C33)</f>
        <v>0</v>
      </c>
      <c r="D34" s="157">
        <f t="shared" si="7"/>
        <v>-599632.38262174383</v>
      </c>
      <c r="E34" s="157">
        <f t="shared" si="7"/>
        <v>198570.71737825609</v>
      </c>
      <c r="F34" s="157">
        <f t="shared" si="7"/>
        <v>198570.71737825609</v>
      </c>
      <c r="G34" s="157">
        <f t="shared" si="7"/>
        <v>198570.71737825609</v>
      </c>
      <c r="H34" s="158">
        <f t="shared" si="7"/>
        <v>132380.47825217093</v>
      </c>
      <c r="I34" s="129"/>
      <c r="J34" s="107"/>
      <c r="K34" s="107"/>
      <c r="L34" s="107"/>
      <c r="M34" s="107"/>
      <c r="N34" s="107"/>
      <c r="O34" s="107"/>
      <c r="P34" s="107"/>
      <c r="Q34" s="107"/>
      <c r="R34" s="107"/>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row>
    <row r="35" spans="2:57" ht="21" x14ac:dyDescent="0.35">
      <c r="B35" s="150" t="s">
        <v>236</v>
      </c>
      <c r="C35" s="131">
        <v>0</v>
      </c>
      <c r="D35" s="159">
        <v>0</v>
      </c>
      <c r="E35" s="159">
        <v>0</v>
      </c>
      <c r="F35" s="159">
        <v>0</v>
      </c>
      <c r="G35" s="159">
        <v>0</v>
      </c>
      <c r="H35" s="133">
        <v>442469.13580246893</v>
      </c>
      <c r="I35" s="129"/>
      <c r="J35" s="107"/>
      <c r="K35" s="107"/>
      <c r="L35" s="107"/>
      <c r="M35" s="107"/>
      <c r="N35" s="107"/>
      <c r="O35" s="107"/>
      <c r="P35" s="107"/>
      <c r="Q35" s="107"/>
      <c r="R35" s="107"/>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row>
    <row r="36" spans="2:57" ht="21" x14ac:dyDescent="0.35">
      <c r="B36" s="150" t="s">
        <v>219</v>
      </c>
      <c r="C36" s="160">
        <f t="shared" ref="C36:H36" si="8">C17*-1</f>
        <v>0</v>
      </c>
      <c r="D36" s="118">
        <f t="shared" si="8"/>
        <v>47407.407407407409</v>
      </c>
      <c r="E36" s="118">
        <f t="shared" si="8"/>
        <v>47407.407407407409</v>
      </c>
      <c r="F36" s="118">
        <f t="shared" si="8"/>
        <v>47407.407407407409</v>
      </c>
      <c r="G36" s="118">
        <f t="shared" si="8"/>
        <v>47407.407407407409</v>
      </c>
      <c r="H36" s="145">
        <f t="shared" si="8"/>
        <v>31604.93827160494</v>
      </c>
      <c r="I36" s="129"/>
      <c r="J36" s="107"/>
      <c r="K36" s="107"/>
      <c r="L36" s="107"/>
      <c r="M36" s="107"/>
      <c r="N36" s="107"/>
      <c r="O36" s="107"/>
      <c r="P36" s="107"/>
      <c r="Q36" s="107"/>
      <c r="R36" s="107"/>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row>
    <row r="37" spans="2:57" ht="21" x14ac:dyDescent="0.35">
      <c r="B37" s="150" t="s">
        <v>237</v>
      </c>
      <c r="C37" s="135">
        <v>0</v>
      </c>
      <c r="D37" s="161">
        <v>0</v>
      </c>
      <c r="E37" s="161">
        <v>0</v>
      </c>
      <c r="F37" s="161">
        <v>0</v>
      </c>
      <c r="G37" s="161">
        <v>0</v>
      </c>
      <c r="H37" s="119">
        <v>0</v>
      </c>
      <c r="I37" s="129"/>
      <c r="J37" s="107"/>
      <c r="K37" s="107"/>
      <c r="L37" s="107"/>
      <c r="M37" s="107"/>
      <c r="N37" s="107"/>
      <c r="O37" s="107"/>
      <c r="P37" s="107"/>
      <c r="Q37" s="107"/>
      <c r="R37" s="107"/>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row>
    <row r="38" spans="2:57" ht="21" x14ac:dyDescent="0.35">
      <c r="B38" s="150" t="s">
        <v>238</v>
      </c>
      <c r="C38" s="135"/>
      <c r="D38" s="118">
        <v>0</v>
      </c>
      <c r="E38" s="118">
        <v>0</v>
      </c>
      <c r="F38" s="118">
        <v>0</v>
      </c>
      <c r="G38" s="118">
        <v>0</v>
      </c>
      <c r="H38" s="119">
        <v>0</v>
      </c>
      <c r="I38" s="129"/>
      <c r="J38" s="107"/>
      <c r="K38" s="107"/>
      <c r="L38" s="107"/>
      <c r="M38" s="107"/>
      <c r="N38" s="107"/>
      <c r="O38" s="107"/>
      <c r="P38" s="107"/>
      <c r="Q38" s="107"/>
      <c r="R38" s="107"/>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row>
    <row r="39" spans="2:57" ht="21.75" thickBot="1" x14ac:dyDescent="0.4">
      <c r="B39" s="150" t="s">
        <v>239</v>
      </c>
      <c r="C39" s="140">
        <v>0</v>
      </c>
      <c r="D39" s="124">
        <f>C7*-1</f>
        <v>20000</v>
      </c>
      <c r="E39" s="124">
        <v>0</v>
      </c>
      <c r="F39" s="124">
        <v>0</v>
      </c>
      <c r="G39" s="124">
        <v>0</v>
      </c>
      <c r="H39" s="125">
        <v>0</v>
      </c>
      <c r="I39" s="129"/>
      <c r="J39" s="107"/>
      <c r="K39" s="107"/>
      <c r="L39" s="107"/>
      <c r="M39" s="107"/>
      <c r="N39" s="107"/>
      <c r="O39" s="107"/>
      <c r="P39" s="107"/>
      <c r="Q39" s="107"/>
      <c r="R39" s="107"/>
    </row>
    <row r="40" spans="2:57" ht="21.75" thickBot="1" x14ac:dyDescent="0.4">
      <c r="B40" s="151" t="s">
        <v>240</v>
      </c>
      <c r="C40" s="152">
        <f>SUM(C34:C39)+C5</f>
        <v>-768000</v>
      </c>
      <c r="D40" s="152">
        <f>SUM(D34:D39)</f>
        <v>-532224.97521433642</v>
      </c>
      <c r="E40" s="152">
        <f>SUM(E34:E39)</f>
        <v>245978.1247856635</v>
      </c>
      <c r="F40" s="152">
        <f>SUM(F34:F39)</f>
        <v>245978.1247856635</v>
      </c>
      <c r="G40" s="152">
        <f>SUM(G34:G39)</f>
        <v>245978.1247856635</v>
      </c>
      <c r="H40" s="153">
        <f>SUM(H34:H39)</f>
        <v>606454.55232624477</v>
      </c>
      <c r="I40" s="129"/>
      <c r="J40" s="107"/>
      <c r="K40" s="107"/>
      <c r="L40" s="107"/>
      <c r="M40" s="107"/>
      <c r="N40" s="107"/>
      <c r="O40" s="107"/>
      <c r="P40" s="107"/>
      <c r="Q40" s="107"/>
      <c r="R40" s="107"/>
    </row>
    <row r="41" spans="2:57" ht="21.75" thickBot="1" x14ac:dyDescent="0.4">
      <c r="B41" s="162" t="s">
        <v>241</v>
      </c>
      <c r="C41" s="163">
        <v>0.12</v>
      </c>
      <c r="D41" s="164"/>
      <c r="E41" s="165"/>
      <c r="F41" s="165"/>
      <c r="G41" s="165"/>
      <c r="H41" s="166"/>
      <c r="I41" s="167"/>
      <c r="J41" s="107"/>
      <c r="K41" s="107"/>
      <c r="L41" s="107"/>
      <c r="M41" s="107"/>
      <c r="N41" s="107"/>
      <c r="O41" s="107"/>
      <c r="P41" s="107"/>
      <c r="Q41" s="107"/>
      <c r="R41" s="107"/>
    </row>
    <row r="42" spans="2:57" ht="21.75" thickBot="1" x14ac:dyDescent="0.4">
      <c r="B42" s="151" t="s">
        <v>242</v>
      </c>
      <c r="C42" s="168">
        <f>NPV(C41,D40:H40)+C40</f>
        <v>-371584.1000637362</v>
      </c>
      <c r="D42" s="169"/>
      <c r="E42" s="170"/>
      <c r="F42" s="170"/>
      <c r="G42" s="170"/>
      <c r="H42" s="171"/>
      <c r="I42" s="167"/>
      <c r="J42" s="107"/>
      <c r="K42" s="107"/>
      <c r="L42" s="107"/>
      <c r="M42" s="107"/>
      <c r="N42" s="107"/>
      <c r="O42" s="107"/>
      <c r="P42" s="107"/>
      <c r="Q42" s="107"/>
      <c r="R42" s="107"/>
    </row>
    <row r="43" spans="2:57" ht="21.75" thickBot="1" x14ac:dyDescent="0.4">
      <c r="B43" s="172" t="s">
        <v>243</v>
      </c>
      <c r="C43" s="173">
        <f>IRR(C40:H40)</f>
        <v>9.623676597495745E-3</v>
      </c>
      <c r="D43" s="174"/>
      <c r="E43" s="175"/>
      <c r="F43" s="175"/>
      <c r="G43" s="175"/>
      <c r="H43" s="176"/>
      <c r="I43" s="115"/>
      <c r="J43" s="107"/>
      <c r="K43" s="107"/>
      <c r="L43" s="107"/>
      <c r="M43" s="107"/>
      <c r="N43" s="107"/>
      <c r="O43" s="107"/>
      <c r="P43" s="107"/>
      <c r="Q43" s="107"/>
      <c r="R43" s="107"/>
    </row>
    <row r="44" spans="2:57" ht="21.75" thickBot="1" x14ac:dyDescent="0.4">
      <c r="B44" s="172" t="s">
        <v>244</v>
      </c>
      <c r="C44" s="177">
        <f>+I52/-I51</f>
        <v>0.85945943052787532</v>
      </c>
      <c r="D44" s="178"/>
      <c r="E44" s="179"/>
      <c r="F44" s="179"/>
      <c r="G44" s="179"/>
      <c r="H44" s="180"/>
      <c r="I44" s="115"/>
      <c r="J44" s="107"/>
      <c r="K44" s="107"/>
      <c r="L44" s="107"/>
      <c r="M44" s="107"/>
      <c r="N44" s="107"/>
      <c r="O44" s="107"/>
      <c r="P44" s="107"/>
      <c r="Q44" s="107"/>
      <c r="R44" s="107"/>
    </row>
    <row r="45" spans="2:57" ht="24" customHeight="1" x14ac:dyDescent="0.25">
      <c r="C45" s="181"/>
      <c r="D45" s="181"/>
      <c r="E45" s="181"/>
      <c r="F45" s="181"/>
      <c r="G45" s="181"/>
      <c r="H45" s="181"/>
      <c r="I45" s="107"/>
      <c r="J45" s="107"/>
      <c r="K45" s="107"/>
      <c r="L45" s="107"/>
      <c r="M45" s="107"/>
      <c r="N45" s="107"/>
      <c r="O45" s="107"/>
      <c r="P45" s="107"/>
      <c r="Q45" s="107"/>
      <c r="R45" s="107"/>
    </row>
    <row r="46" spans="2:57" x14ac:dyDescent="0.25">
      <c r="I46" s="107"/>
      <c r="J46" s="107"/>
      <c r="K46" s="107"/>
      <c r="L46" s="107"/>
      <c r="M46" s="107"/>
      <c r="N46" s="107"/>
      <c r="O46" s="107"/>
      <c r="P46" s="107"/>
      <c r="Q46" s="107"/>
      <c r="R46" s="107"/>
    </row>
    <row r="47" spans="2:57" x14ac:dyDescent="0.25">
      <c r="D47">
        <v>1</v>
      </c>
      <c r="E47">
        <v>2</v>
      </c>
      <c r="F47">
        <v>3</v>
      </c>
      <c r="G47">
        <v>4</v>
      </c>
      <c r="H47">
        <v>5</v>
      </c>
      <c r="I47" s="107"/>
      <c r="J47" s="107"/>
      <c r="K47" s="107"/>
      <c r="L47" s="107"/>
      <c r="M47" s="107"/>
      <c r="N47" s="107"/>
      <c r="O47" s="107"/>
      <c r="P47" s="107"/>
      <c r="Q47" s="107"/>
      <c r="R47" s="107"/>
    </row>
    <row r="48" spans="2:57" x14ac:dyDescent="0.25">
      <c r="B48" t="s">
        <v>310</v>
      </c>
      <c r="D48">
        <v>0.89290000000000003</v>
      </c>
      <c r="E48">
        <v>0.79720000000000002</v>
      </c>
      <c r="F48">
        <v>0.71179999999999999</v>
      </c>
      <c r="G48">
        <v>0.63549999999999995</v>
      </c>
      <c r="H48">
        <v>0.56740000000000002</v>
      </c>
      <c r="I48" s="107" t="s">
        <v>309</v>
      </c>
      <c r="J48" s="107"/>
      <c r="K48" s="107"/>
      <c r="L48" s="107"/>
      <c r="M48" s="107"/>
      <c r="N48" s="107"/>
      <c r="O48" s="107"/>
      <c r="P48" s="107"/>
      <c r="Q48" s="107"/>
      <c r="R48" s="107"/>
    </row>
    <row r="49" spans="2:18" x14ac:dyDescent="0.25">
      <c r="B49" t="s">
        <v>306</v>
      </c>
      <c r="C49">
        <v>-768000</v>
      </c>
      <c r="D49" s="318">
        <f>+D10</f>
        <v>-1477584.689459634</v>
      </c>
      <c r="E49" s="318">
        <f>+E10</f>
        <v>-1477584.689459634</v>
      </c>
      <c r="F49" s="318">
        <f>+F10</f>
        <v>-1477584.689459634</v>
      </c>
      <c r="G49" s="318">
        <f>+G10</f>
        <v>-1477584.689459634</v>
      </c>
      <c r="H49" s="318">
        <f>+H10</f>
        <v>-985056.45963975589</v>
      </c>
      <c r="I49" s="107"/>
      <c r="J49" s="107"/>
      <c r="K49" s="107"/>
      <c r="L49" s="107"/>
      <c r="M49" s="107"/>
      <c r="N49" s="107"/>
      <c r="O49" s="107"/>
      <c r="P49" s="107"/>
      <c r="Q49" s="107"/>
      <c r="R49" s="107"/>
    </row>
    <row r="50" spans="2:18" x14ac:dyDescent="0.25">
      <c r="B50" t="s">
        <v>230</v>
      </c>
      <c r="C50">
        <v>0</v>
      </c>
      <c r="D50" s="318">
        <f>+D28</f>
        <v>620967</v>
      </c>
      <c r="E50" s="318">
        <f>+E28</f>
        <v>1761257.1428571427</v>
      </c>
      <c r="F50" s="318">
        <f>+F28</f>
        <v>1761257.1428571427</v>
      </c>
      <c r="G50" s="318">
        <f>+G28</f>
        <v>1761257.1428571427</v>
      </c>
      <c r="H50" s="318">
        <f>+H28</f>
        <v>1174171.4285714286</v>
      </c>
      <c r="I50" s="107"/>
      <c r="J50" s="107"/>
      <c r="K50" s="107"/>
      <c r="L50" s="107"/>
      <c r="M50" s="107"/>
      <c r="N50" s="107"/>
      <c r="O50" s="107"/>
      <c r="P50" s="107"/>
      <c r="Q50" s="107"/>
      <c r="R50" s="107"/>
    </row>
    <row r="51" spans="2:18" x14ac:dyDescent="0.25">
      <c r="B51" t="s">
        <v>308</v>
      </c>
      <c r="C51">
        <v>-768000</v>
      </c>
      <c r="D51" s="318">
        <f>+D49*D48</f>
        <v>-1319335.3692185073</v>
      </c>
      <c r="E51" s="318">
        <f t="shared" ref="E51:H51" si="9">+E49*E48</f>
        <v>-1177930.5144372203</v>
      </c>
      <c r="F51" s="318">
        <f t="shared" si="9"/>
        <v>-1051744.7819573674</v>
      </c>
      <c r="G51" s="318">
        <f t="shared" si="9"/>
        <v>-939005.07015159738</v>
      </c>
      <c r="H51" s="318">
        <f t="shared" si="9"/>
        <v>-558921.03519959748</v>
      </c>
      <c r="I51" s="320">
        <f>SUM(C51:H51)</f>
        <v>-5814936.77096429</v>
      </c>
      <c r="J51" s="107"/>
      <c r="K51" s="107"/>
      <c r="L51" s="107"/>
      <c r="M51" s="107"/>
      <c r="N51" s="107"/>
      <c r="O51" s="107"/>
      <c r="P51" s="107"/>
      <c r="Q51" s="107"/>
      <c r="R51" s="107"/>
    </row>
    <row r="52" spans="2:18" x14ac:dyDescent="0.25">
      <c r="B52" t="s">
        <v>307</v>
      </c>
      <c r="C52">
        <v>0</v>
      </c>
      <c r="D52" s="318">
        <f>+D50*D48</f>
        <v>554461.43429999996</v>
      </c>
      <c r="E52" s="318">
        <f t="shared" ref="E52:H52" si="10">+E50*E48</f>
        <v>1404074.1942857143</v>
      </c>
      <c r="F52" s="318">
        <f t="shared" si="10"/>
        <v>1253662.8342857142</v>
      </c>
      <c r="G52" s="318">
        <f t="shared" si="10"/>
        <v>1119278.914285714</v>
      </c>
      <c r="H52" s="318">
        <f t="shared" si="10"/>
        <v>666224.86857142858</v>
      </c>
      <c r="I52" s="320">
        <f>SUM(C52:H52)</f>
        <v>4997702.245728571</v>
      </c>
      <c r="J52" s="107"/>
      <c r="K52" s="107"/>
      <c r="L52" s="107"/>
      <c r="M52" s="107"/>
      <c r="N52" s="107"/>
      <c r="O52" s="107"/>
      <c r="P52" s="107"/>
      <c r="Q52" s="107"/>
      <c r="R52" s="107"/>
    </row>
    <row r="53" spans="2:18" x14ac:dyDescent="0.25">
      <c r="I53" s="107">
        <f>+I52/-I51</f>
        <v>0.85945943052787532</v>
      </c>
      <c r="J53" s="107"/>
      <c r="K53" s="107"/>
      <c r="L53" s="107"/>
      <c r="M53" s="107"/>
      <c r="N53" s="107"/>
      <c r="O53" s="107"/>
      <c r="P53" s="107"/>
      <c r="Q53" s="107"/>
      <c r="R53" s="107"/>
    </row>
    <row r="54" spans="2:18" x14ac:dyDescent="0.25">
      <c r="I54" s="107"/>
      <c r="J54" s="107"/>
      <c r="K54" s="107"/>
      <c r="L54" s="107"/>
      <c r="M54" s="107"/>
      <c r="N54" s="107"/>
      <c r="O54" s="107"/>
      <c r="P54" s="107"/>
      <c r="Q54" s="107"/>
      <c r="R54" s="107"/>
    </row>
    <row r="55" spans="2:18" x14ac:dyDescent="0.25">
      <c r="C55" s="321">
        <f>IRR(C40:H40)</f>
        <v>9.623676597495745E-3</v>
      </c>
      <c r="I55" s="107"/>
      <c r="J55" s="107"/>
      <c r="K55" s="107"/>
      <c r="L55" s="107"/>
      <c r="M55" s="107"/>
      <c r="N55" s="107"/>
      <c r="O55" s="107"/>
      <c r="P55" s="107"/>
      <c r="Q55" s="107"/>
      <c r="R55" s="107"/>
    </row>
  </sheetData>
  <mergeCells count="10">
    <mergeCell ref="I3:I4"/>
    <mergeCell ref="B1:H1"/>
    <mergeCell ref="B2:H2"/>
    <mergeCell ref="B3:B4"/>
    <mergeCell ref="C3:C4"/>
    <mergeCell ref="D3:D4"/>
    <mergeCell ref="E3:E4"/>
    <mergeCell ref="F3:F4"/>
    <mergeCell ref="G3:G4"/>
    <mergeCell ref="H3:H4"/>
  </mergeCells>
  <pageMargins left="0.7" right="0.7" top="0.75" bottom="0.75" header="0.3" footer="0.3"/>
  <pageSetup paperSize="126"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2"/>
  <sheetViews>
    <sheetView topLeftCell="A28" zoomScale="70" zoomScaleNormal="70" workbookViewId="0">
      <selection activeCell="F58" sqref="F58"/>
    </sheetView>
  </sheetViews>
  <sheetFormatPr baseColWidth="10" defaultRowHeight="15" x14ac:dyDescent="0.25"/>
  <cols>
    <col min="2" max="2" width="57.28515625" bestFit="1" customWidth="1"/>
    <col min="3" max="3" width="18.42578125" customWidth="1"/>
    <col min="4" max="4" width="19.28515625" bestFit="1" customWidth="1"/>
    <col min="5" max="5" width="16.42578125" bestFit="1" customWidth="1"/>
    <col min="6" max="8" width="16.28515625" bestFit="1" customWidth="1"/>
    <col min="9" max="9" width="12.85546875" bestFit="1" customWidth="1"/>
  </cols>
  <sheetData>
    <row r="1" spans="2:8" ht="64.5" customHeight="1" thickBot="1" x14ac:dyDescent="0.55000000000000004">
      <c r="B1" s="417" t="s">
        <v>245</v>
      </c>
      <c r="C1" s="418"/>
      <c r="D1" s="418"/>
      <c r="E1" s="418"/>
      <c r="F1" s="418"/>
      <c r="G1" s="418"/>
      <c r="H1" s="418"/>
    </row>
    <row r="2" spans="2:8" ht="15" customHeight="1" x14ac:dyDescent="0.25">
      <c r="B2" s="409" t="s">
        <v>207</v>
      </c>
      <c r="C2" s="411" t="s">
        <v>1</v>
      </c>
      <c r="D2" s="413" t="s">
        <v>2</v>
      </c>
      <c r="E2" s="413" t="s">
        <v>3</v>
      </c>
      <c r="F2" s="413" t="s">
        <v>34</v>
      </c>
      <c r="G2" s="413" t="s">
        <v>35</v>
      </c>
      <c r="H2" s="415" t="s">
        <v>36</v>
      </c>
    </row>
    <row r="3" spans="2:8" ht="15.75" customHeight="1" thickBot="1" x14ac:dyDescent="0.3">
      <c r="B3" s="410"/>
      <c r="C3" s="412"/>
      <c r="D3" s="414"/>
      <c r="E3" s="414"/>
      <c r="F3" s="414"/>
      <c r="G3" s="414"/>
      <c r="H3" s="416"/>
    </row>
    <row r="4" spans="2:8" ht="21.75" customHeight="1" x14ac:dyDescent="0.35">
      <c r="B4" s="182" t="s">
        <v>208</v>
      </c>
      <c r="C4" s="304">
        <f>SUM(C5:C7)</f>
        <v>-768000</v>
      </c>
      <c r="D4" s="132"/>
      <c r="E4" s="132"/>
      <c r="F4" s="132"/>
      <c r="G4" s="132"/>
      <c r="H4" s="133"/>
    </row>
    <row r="5" spans="2:8" ht="21.75" customHeight="1" x14ac:dyDescent="0.35">
      <c r="B5" s="183" t="s">
        <v>209</v>
      </c>
      <c r="C5" s="118">
        <v>-640000</v>
      </c>
      <c r="D5" s="118"/>
      <c r="E5" s="118"/>
      <c r="F5" s="118"/>
      <c r="G5" s="118"/>
      <c r="H5" s="119"/>
    </row>
    <row r="6" spans="2:8" ht="21.75" customHeight="1" x14ac:dyDescent="0.35">
      <c r="B6" s="183" t="s">
        <v>210</v>
      </c>
      <c r="C6" s="118">
        <v>-20000</v>
      </c>
      <c r="D6" s="118"/>
      <c r="E6" s="118"/>
      <c r="F6" s="118"/>
      <c r="G6" s="118"/>
      <c r="H6" s="119"/>
    </row>
    <row r="7" spans="2:8" ht="21.75" customHeight="1" x14ac:dyDescent="0.35">
      <c r="B7" s="136" t="s">
        <v>211</v>
      </c>
      <c r="C7" s="118">
        <v>-108000</v>
      </c>
      <c r="D7" s="118"/>
      <c r="E7" s="118"/>
      <c r="F7" s="118"/>
      <c r="G7" s="118"/>
      <c r="H7" s="119"/>
    </row>
    <row r="8" spans="2:8" ht="21.75" customHeight="1" thickBot="1" x14ac:dyDescent="0.4">
      <c r="B8" s="184"/>
      <c r="C8" s="124"/>
      <c r="D8" s="124"/>
      <c r="E8" s="124"/>
      <c r="F8" s="124"/>
      <c r="G8" s="124"/>
      <c r="H8" s="125"/>
    </row>
    <row r="9" spans="2:8" ht="21.75" thickBot="1" x14ac:dyDescent="0.4">
      <c r="B9" s="126" t="s">
        <v>212</v>
      </c>
      <c r="C9" s="185"/>
      <c r="D9" s="185">
        <f>D10+D20+D23+D25</f>
        <v>-1788738.689459634</v>
      </c>
      <c r="E9" s="185">
        <f t="shared" ref="E9:H9" si="0">E10+E20+E23+E25</f>
        <v>-1502469.689459634</v>
      </c>
      <c r="F9" s="185">
        <f t="shared" si="0"/>
        <v>-1495213.689459634</v>
      </c>
      <c r="G9" s="185">
        <f t="shared" si="0"/>
        <v>-1487109.689459634</v>
      </c>
      <c r="H9" s="186">
        <f t="shared" si="0"/>
        <v>-987159.45963975589</v>
      </c>
    </row>
    <row r="10" spans="2:8" ht="23.25" x14ac:dyDescent="0.35">
      <c r="B10" s="288" t="s">
        <v>213</v>
      </c>
      <c r="C10" s="187"/>
      <c r="D10" s="187">
        <f t="shared" ref="D10:H10" si="1">SUM(D11+D17)</f>
        <v>-1715188.1951274076</v>
      </c>
      <c r="E10" s="187">
        <f t="shared" si="1"/>
        <v>-1435754.1951274076</v>
      </c>
      <c r="F10" s="187">
        <f t="shared" si="1"/>
        <v>-1435754.1951274076</v>
      </c>
      <c r="G10" s="187">
        <f t="shared" si="1"/>
        <v>-1435754.1951274076</v>
      </c>
      <c r="H10" s="188">
        <f t="shared" si="1"/>
        <v>-957169.46341827163</v>
      </c>
    </row>
    <row r="11" spans="2:8" ht="21" x14ac:dyDescent="0.35">
      <c r="B11" s="289" t="s">
        <v>214</v>
      </c>
      <c r="C11" s="117"/>
      <c r="D11" s="118">
        <v>-1435754.1951274076</v>
      </c>
      <c r="E11" s="118">
        <v>-1435754.1951274076</v>
      </c>
      <c r="F11" s="118">
        <v>-1435754.1951274076</v>
      </c>
      <c r="G11" s="118">
        <v>-1435754.1951274076</v>
      </c>
      <c r="H11" s="119">
        <v>-957169.46341827163</v>
      </c>
    </row>
    <row r="12" spans="2:8" ht="21" x14ac:dyDescent="0.35">
      <c r="B12" s="290" t="s">
        <v>215</v>
      </c>
      <c r="C12" s="117"/>
      <c r="D12" s="118">
        <v>-1209751.5877200002</v>
      </c>
      <c r="E12" s="118">
        <v>-1209751.5877200002</v>
      </c>
      <c r="F12" s="118">
        <v>-1209751.5877200002</v>
      </c>
      <c r="G12" s="118">
        <v>-1209751.5877200002</v>
      </c>
      <c r="H12" s="119">
        <v>-806501.05848000001</v>
      </c>
    </row>
    <row r="13" spans="2:8" ht="21" x14ac:dyDescent="0.35">
      <c r="B13" s="290" t="s">
        <v>216</v>
      </c>
      <c r="C13" s="117"/>
      <c r="D13" s="118">
        <v>-114595.19999999998</v>
      </c>
      <c r="E13" s="118">
        <v>-114595.19999999998</v>
      </c>
      <c r="F13" s="118">
        <v>-114595.19999999998</v>
      </c>
      <c r="G13" s="118">
        <v>-114595.19999999998</v>
      </c>
      <c r="H13" s="119">
        <v>-76396.799999999988</v>
      </c>
    </row>
    <row r="14" spans="2:8" ht="21" x14ac:dyDescent="0.35">
      <c r="B14" s="291" t="s">
        <v>217</v>
      </c>
      <c r="C14" s="117"/>
      <c r="D14" s="118">
        <v>-40000</v>
      </c>
      <c r="E14" s="118">
        <v>-40000</v>
      </c>
      <c r="F14" s="118">
        <v>-40000</v>
      </c>
      <c r="G14" s="118">
        <v>-40000</v>
      </c>
      <c r="H14" s="119">
        <v>-26666.666666666668</v>
      </c>
    </row>
    <row r="15" spans="2:8" ht="42" x14ac:dyDescent="0.35">
      <c r="B15" s="292" t="s">
        <v>218</v>
      </c>
      <c r="C15" s="117"/>
      <c r="D15" s="118">
        <v>-24000</v>
      </c>
      <c r="E15" s="118">
        <v>-24000</v>
      </c>
      <c r="F15" s="118">
        <v>-24000</v>
      </c>
      <c r="G15" s="118">
        <v>-24000</v>
      </c>
      <c r="H15" s="119">
        <v>-16000</v>
      </c>
    </row>
    <row r="16" spans="2:8" ht="21" x14ac:dyDescent="0.35">
      <c r="B16" s="293" t="s">
        <v>219</v>
      </c>
      <c r="C16" s="117"/>
      <c r="D16" s="118">
        <v>-47407.407407407409</v>
      </c>
      <c r="E16" s="118">
        <v>-47407.407407407409</v>
      </c>
      <c r="F16" s="118">
        <v>-47407.407407407409</v>
      </c>
      <c r="G16" s="118">
        <v>-47407.407407407409</v>
      </c>
      <c r="H16" s="119">
        <v>-31604.93827160494</v>
      </c>
    </row>
    <row r="17" spans="2:8" ht="21" x14ac:dyDescent="0.35">
      <c r="B17" s="289" t="s">
        <v>220</v>
      </c>
      <c r="C17" s="117"/>
      <c r="D17" s="118">
        <v>-279434</v>
      </c>
      <c r="E17" s="118">
        <v>0</v>
      </c>
      <c r="F17" s="118">
        <v>0</v>
      </c>
      <c r="G17" s="118">
        <v>0</v>
      </c>
      <c r="H17" s="119">
        <v>0</v>
      </c>
    </row>
    <row r="18" spans="2:8" ht="21" x14ac:dyDescent="0.35">
      <c r="B18" s="293" t="s">
        <v>221</v>
      </c>
      <c r="C18" s="117"/>
      <c r="D18" s="118">
        <v>-48000</v>
      </c>
      <c r="E18" s="118"/>
      <c r="F18" s="118"/>
      <c r="G18" s="118"/>
      <c r="H18" s="145"/>
    </row>
    <row r="19" spans="2:8" ht="21.75" thickBot="1" x14ac:dyDescent="0.4">
      <c r="B19" s="294" t="s">
        <v>222</v>
      </c>
      <c r="C19" s="123"/>
      <c r="D19" s="124">
        <v>-231434</v>
      </c>
      <c r="E19" s="124"/>
      <c r="F19" s="124"/>
      <c r="G19" s="124"/>
      <c r="H19" s="189"/>
    </row>
    <row r="20" spans="2:8" ht="23.25" x14ac:dyDescent="0.35">
      <c r="B20" s="295" t="s">
        <v>223</v>
      </c>
      <c r="C20" s="142"/>
      <c r="D20" s="142">
        <f t="shared" ref="D20:H20" si="2">SUM(D21:D22)</f>
        <v>-33024.208617940742</v>
      </c>
      <c r="E20" s="142">
        <f t="shared" si="2"/>
        <v>-33024.208617940742</v>
      </c>
      <c r="F20" s="142">
        <f t="shared" si="2"/>
        <v>-33024.208617940742</v>
      </c>
      <c r="G20" s="142">
        <f t="shared" si="2"/>
        <v>-33024.208617940742</v>
      </c>
      <c r="H20" s="143">
        <f t="shared" si="2"/>
        <v>-22016.139078627162</v>
      </c>
    </row>
    <row r="21" spans="2:8" ht="21" x14ac:dyDescent="0.35">
      <c r="B21" s="293" t="s">
        <v>224</v>
      </c>
      <c r="C21" s="117"/>
      <c r="D21" s="118">
        <v>-18666.666666666668</v>
      </c>
      <c r="E21" s="118">
        <v>-18666.666666666668</v>
      </c>
      <c r="F21" s="118">
        <v>-18666.666666666668</v>
      </c>
      <c r="G21" s="118">
        <v>-18666.666666666668</v>
      </c>
      <c r="H21" s="119">
        <v>-12444.444444444445</v>
      </c>
    </row>
    <row r="22" spans="2:8" ht="21.75" thickBot="1" x14ac:dyDescent="0.4">
      <c r="B22" s="294" t="s">
        <v>225</v>
      </c>
      <c r="C22" s="123"/>
      <c r="D22" s="124">
        <v>-14357.541951274075</v>
      </c>
      <c r="E22" s="124">
        <v>-14357.541951274075</v>
      </c>
      <c r="F22" s="124">
        <v>-14357.541951274075</v>
      </c>
      <c r="G22" s="124">
        <v>-14357.541951274075</v>
      </c>
      <c r="H22" s="125">
        <v>-9571.694634182717</v>
      </c>
    </row>
    <row r="23" spans="2:8" ht="23.25" x14ac:dyDescent="0.35">
      <c r="B23" s="288" t="s">
        <v>226</v>
      </c>
      <c r="C23" s="187"/>
      <c r="D23" s="187">
        <f t="shared" ref="D23:H23" si="3">SUM(D24)</f>
        <v>-8806.2857142857138</v>
      </c>
      <c r="E23" s="187">
        <f t="shared" si="3"/>
        <v>-8806.2857142857138</v>
      </c>
      <c r="F23" s="187">
        <f t="shared" si="3"/>
        <v>-8806.2857142857138</v>
      </c>
      <c r="G23" s="187">
        <f t="shared" si="3"/>
        <v>-8806.2857142857138</v>
      </c>
      <c r="H23" s="188">
        <f t="shared" si="3"/>
        <v>-5870.8571428571431</v>
      </c>
    </row>
    <row r="24" spans="2:8" ht="21.75" thickBot="1" x14ac:dyDescent="0.4">
      <c r="B24" s="294" t="s">
        <v>227</v>
      </c>
      <c r="C24" s="123"/>
      <c r="D24" s="124">
        <v>-8806.2857142857138</v>
      </c>
      <c r="E24" s="124">
        <v>-8806.2857142857138</v>
      </c>
      <c r="F24" s="124">
        <v>-8806.2857142857138</v>
      </c>
      <c r="G24" s="124">
        <v>-8806.2857142857138</v>
      </c>
      <c r="H24" s="125">
        <v>-5870.8571428571431</v>
      </c>
    </row>
    <row r="25" spans="2:8" ht="23.25" x14ac:dyDescent="0.35">
      <c r="B25" s="295" t="s">
        <v>228</v>
      </c>
      <c r="C25" s="142"/>
      <c r="D25" s="142">
        <f t="shared" ref="D25:H25" si="4">SUM(D26)</f>
        <v>-31720</v>
      </c>
      <c r="E25" s="142">
        <f t="shared" si="4"/>
        <v>-24885</v>
      </c>
      <c r="F25" s="142">
        <f t="shared" si="4"/>
        <v>-17629</v>
      </c>
      <c r="G25" s="142">
        <f t="shared" si="4"/>
        <v>-9525</v>
      </c>
      <c r="H25" s="143">
        <f t="shared" si="4"/>
        <v>-2103</v>
      </c>
    </row>
    <row r="26" spans="2:8" ht="21.75" thickBot="1" x14ac:dyDescent="0.4">
      <c r="B26" s="294" t="s">
        <v>229</v>
      </c>
      <c r="C26" s="123"/>
      <c r="D26" s="124">
        <v>-31720</v>
      </c>
      <c r="E26" s="124">
        <v>-24885</v>
      </c>
      <c r="F26" s="124">
        <v>-17629</v>
      </c>
      <c r="G26" s="124">
        <v>-9525</v>
      </c>
      <c r="H26" s="125">
        <v>-2103</v>
      </c>
    </row>
    <row r="27" spans="2:8" ht="21.75" thickBot="1" x14ac:dyDescent="0.4">
      <c r="B27" s="146" t="s">
        <v>230</v>
      </c>
      <c r="C27" s="147">
        <f t="shared" ref="C27:H27" si="5">SUM(C28:C30)</f>
        <v>0</v>
      </c>
      <c r="D27" s="147">
        <f t="shared" si="5"/>
        <v>621267</v>
      </c>
      <c r="E27" s="147">
        <f t="shared" si="5"/>
        <v>1761257.1428571427</v>
      </c>
      <c r="F27" s="147">
        <f t="shared" si="5"/>
        <v>1761257.1428571427</v>
      </c>
      <c r="G27" s="147">
        <f t="shared" si="5"/>
        <v>1761257.1428571427</v>
      </c>
      <c r="H27" s="148">
        <f t="shared" si="5"/>
        <v>1174171.4285714286</v>
      </c>
    </row>
    <row r="28" spans="2:8" ht="21" x14ac:dyDescent="0.35">
      <c r="B28" s="298" t="s">
        <v>231</v>
      </c>
      <c r="C28" s="296"/>
      <c r="D28" s="118">
        <v>6400</v>
      </c>
      <c r="E28" s="118">
        <v>38400</v>
      </c>
      <c r="F28" s="118">
        <v>38400</v>
      </c>
      <c r="G28" s="118">
        <v>38400</v>
      </c>
      <c r="H28" s="119">
        <v>25600</v>
      </c>
    </row>
    <row r="29" spans="2:8" ht="21" x14ac:dyDescent="0.35">
      <c r="B29" s="299" t="s">
        <v>232</v>
      </c>
      <c r="C29" s="296"/>
      <c r="D29" s="118">
        <v>413867</v>
      </c>
      <c r="E29" s="118">
        <v>0</v>
      </c>
      <c r="F29" s="118">
        <v>0</v>
      </c>
      <c r="G29" s="118">
        <v>0</v>
      </c>
      <c r="H29" s="119">
        <v>0</v>
      </c>
    </row>
    <row r="30" spans="2:8" ht="21.75" thickBot="1" x14ac:dyDescent="0.4">
      <c r="B30" s="294" t="s">
        <v>233</v>
      </c>
      <c r="C30" s="297"/>
      <c r="D30" s="124">
        <v>201000</v>
      </c>
      <c r="E30" s="124">
        <v>1722857.1428571427</v>
      </c>
      <c r="F30" s="124">
        <v>1722857.1428571427</v>
      </c>
      <c r="G30" s="124">
        <v>1722857.1428571427</v>
      </c>
      <c r="H30" s="125">
        <v>1148571.4285714286</v>
      </c>
    </row>
    <row r="31" spans="2:8" ht="21.75" thickBot="1" x14ac:dyDescent="0.4">
      <c r="B31" s="300" t="s">
        <v>234</v>
      </c>
      <c r="C31" s="152"/>
      <c r="D31" s="152">
        <f t="shared" ref="D31:H31" si="6">D27+D9</f>
        <v>-1167471.689459634</v>
      </c>
      <c r="E31" s="152">
        <f t="shared" si="6"/>
        <v>258787.45339750871</v>
      </c>
      <c r="F31" s="152">
        <f t="shared" si="6"/>
        <v>266043.45339750871</v>
      </c>
      <c r="G31" s="152">
        <f t="shared" si="6"/>
        <v>274147.45339750871</v>
      </c>
      <c r="H31" s="153">
        <f t="shared" si="6"/>
        <v>187011.96893167275</v>
      </c>
    </row>
    <row r="32" spans="2:8" ht="21.75" thickBot="1" x14ac:dyDescent="0.4">
      <c r="B32" s="301" t="s">
        <v>144</v>
      </c>
      <c r="C32" s="152"/>
      <c r="D32" s="155">
        <v>-51255.072112265683</v>
      </c>
      <c r="E32" s="155">
        <v>-55080.688470193869</v>
      </c>
      <c r="F32" s="155">
        <v>-59391.48873798961</v>
      </c>
      <c r="G32" s="155">
        <v>-64249.006379641447</v>
      </c>
      <c r="H32" s="190">
        <v>-45832.404840975018</v>
      </c>
    </row>
    <row r="33" spans="2:9" ht="21.75" thickBot="1" x14ac:dyDescent="0.4">
      <c r="B33" s="302" t="s">
        <v>235</v>
      </c>
      <c r="C33" s="157"/>
      <c r="D33" s="157">
        <f t="shared" ref="D33:H33" si="7">SUM(D31:D32)</f>
        <v>-1218726.7615718998</v>
      </c>
      <c r="E33" s="157">
        <f t="shared" si="7"/>
        <v>203706.76492731483</v>
      </c>
      <c r="F33" s="157">
        <f t="shared" si="7"/>
        <v>206651.96465951909</v>
      </c>
      <c r="G33" s="157">
        <f t="shared" si="7"/>
        <v>209898.44701786726</v>
      </c>
      <c r="H33" s="158">
        <f t="shared" si="7"/>
        <v>141179.56409069774</v>
      </c>
    </row>
    <row r="34" spans="2:9" ht="21" x14ac:dyDescent="0.35">
      <c r="B34" s="299" t="s">
        <v>236</v>
      </c>
      <c r="C34" s="187">
        <v>0</v>
      </c>
      <c r="D34" s="132">
        <v>0</v>
      </c>
      <c r="E34" s="132">
        <v>0</v>
      </c>
      <c r="F34" s="132">
        <v>0</v>
      </c>
      <c r="G34" s="132">
        <v>0</v>
      </c>
      <c r="H34" s="133">
        <v>442469.13580246893</v>
      </c>
    </row>
    <row r="35" spans="2:9" ht="21" x14ac:dyDescent="0.35">
      <c r="B35" s="299" t="s">
        <v>219</v>
      </c>
      <c r="C35" s="296">
        <f t="shared" ref="C35:H35" si="8">C16*-1</f>
        <v>0</v>
      </c>
      <c r="D35" s="118">
        <f t="shared" si="8"/>
        <v>47407.407407407409</v>
      </c>
      <c r="E35" s="118">
        <f t="shared" si="8"/>
        <v>47407.407407407409</v>
      </c>
      <c r="F35" s="118">
        <f t="shared" si="8"/>
        <v>47407.407407407409</v>
      </c>
      <c r="G35" s="118">
        <f t="shared" si="8"/>
        <v>47407.407407407409</v>
      </c>
      <c r="H35" s="145">
        <f t="shared" si="8"/>
        <v>31604.93827160494</v>
      </c>
    </row>
    <row r="36" spans="2:9" ht="21" x14ac:dyDescent="0.35">
      <c r="B36" s="299" t="s">
        <v>237</v>
      </c>
      <c r="C36" s="296"/>
      <c r="D36" s="118">
        <v>-110817</v>
      </c>
      <c r="E36" s="118">
        <v>-117652</v>
      </c>
      <c r="F36" s="118">
        <v>-124908</v>
      </c>
      <c r="G36" s="118">
        <v>-132612</v>
      </c>
      <c r="H36" s="145">
        <v>-92922</v>
      </c>
    </row>
    <row r="37" spans="2:9" ht="21" x14ac:dyDescent="0.35">
      <c r="B37" s="299" t="s">
        <v>238</v>
      </c>
      <c r="C37" s="296"/>
      <c r="D37" s="118">
        <v>614400</v>
      </c>
      <c r="E37" s="118">
        <v>0</v>
      </c>
      <c r="F37" s="118">
        <v>0</v>
      </c>
      <c r="G37" s="118">
        <v>0</v>
      </c>
      <c r="H37" s="118">
        <v>0</v>
      </c>
    </row>
    <row r="38" spans="2:9" ht="21.75" thickBot="1" x14ac:dyDescent="0.4">
      <c r="B38" s="303" t="s">
        <v>239</v>
      </c>
      <c r="C38" s="297"/>
      <c r="D38" s="124">
        <f>C6*-1</f>
        <v>20000</v>
      </c>
      <c r="E38" s="124">
        <v>0</v>
      </c>
      <c r="F38" s="124">
        <v>0</v>
      </c>
      <c r="G38" s="124">
        <v>0</v>
      </c>
      <c r="H38" s="125">
        <v>0</v>
      </c>
    </row>
    <row r="39" spans="2:9" ht="21.75" thickBot="1" x14ac:dyDescent="0.4">
      <c r="B39" s="151" t="s">
        <v>240</v>
      </c>
      <c r="C39" s="152">
        <f>SUM(C33:C38)+C4</f>
        <v>-768000</v>
      </c>
      <c r="D39" s="152">
        <f>SUM(D33:D38)</f>
        <v>-647736.35416449234</v>
      </c>
      <c r="E39" s="152">
        <f>SUM(E33:E38)</f>
        <v>133462.17233472224</v>
      </c>
      <c r="F39" s="152">
        <f>SUM(F33:F38)</f>
        <v>129151.3720669265</v>
      </c>
      <c r="G39" s="152">
        <f>SUM(G33:G38)</f>
        <v>124693.85442527468</v>
      </c>
      <c r="H39" s="153">
        <f>SUM(H33:H38)</f>
        <v>522331.6381647716</v>
      </c>
    </row>
    <row r="40" spans="2:9" ht="21.75" thickBot="1" x14ac:dyDescent="0.4">
      <c r="B40" s="162" t="s">
        <v>241</v>
      </c>
      <c r="C40" s="163">
        <v>0.12</v>
      </c>
      <c r="D40" s="164"/>
      <c r="E40" s="165"/>
      <c r="F40" s="165"/>
      <c r="G40" s="165"/>
      <c r="H40" s="166"/>
    </row>
    <row r="41" spans="2:9" ht="21.75" thickBot="1" x14ac:dyDescent="0.4">
      <c r="B41" s="151" t="s">
        <v>242</v>
      </c>
      <c r="C41" s="168">
        <f>NPV(C40,D39:H39)+C39</f>
        <v>-772383.21037944849</v>
      </c>
      <c r="D41" s="169"/>
      <c r="E41" s="170"/>
      <c r="F41" s="170"/>
      <c r="G41" s="170"/>
      <c r="H41" s="171"/>
    </row>
    <row r="42" spans="2:9" ht="21.75" thickBot="1" x14ac:dyDescent="0.4">
      <c r="B42" s="172" t="s">
        <v>243</v>
      </c>
      <c r="C42" s="173">
        <f>IRR(C39:H39)</f>
        <v>-0.11156645652163444</v>
      </c>
      <c r="D42" s="174"/>
      <c r="E42" s="175"/>
      <c r="F42" s="175"/>
      <c r="G42" s="175"/>
      <c r="H42" s="176"/>
    </row>
    <row r="43" spans="2:9" ht="21.75" thickBot="1" x14ac:dyDescent="0.4">
      <c r="B43" s="172" t="s">
        <v>244</v>
      </c>
      <c r="C43" s="177">
        <f>+I51/-I50</f>
        <v>0.76292677425284317</v>
      </c>
      <c r="D43" s="178"/>
      <c r="E43" s="179"/>
      <c r="F43" s="179"/>
      <c r="G43" s="179"/>
      <c r="H43" s="180"/>
    </row>
    <row r="45" spans="2:9" x14ac:dyDescent="0.25">
      <c r="C45" s="181"/>
      <c r="D45" s="181"/>
      <c r="E45" s="181"/>
      <c r="F45" s="181"/>
      <c r="G45" s="181"/>
      <c r="H45" s="181"/>
    </row>
    <row r="46" spans="2:9" x14ac:dyDescent="0.25">
      <c r="B46" s="15"/>
      <c r="C46" s="181"/>
      <c r="D46" s="181">
        <v>1</v>
      </c>
      <c r="E46" s="181">
        <v>2</v>
      </c>
      <c r="F46" s="181">
        <v>3</v>
      </c>
      <c r="G46" s="181">
        <v>4</v>
      </c>
      <c r="H46" s="181">
        <v>5</v>
      </c>
    </row>
    <row r="47" spans="2:9" x14ac:dyDescent="0.25">
      <c r="B47" t="s">
        <v>310</v>
      </c>
      <c r="D47">
        <v>0.89290000000000003</v>
      </c>
      <c r="E47">
        <v>0.79720000000000002</v>
      </c>
      <c r="F47">
        <v>0.71179999999999999</v>
      </c>
      <c r="G47">
        <v>0.63549999999999995</v>
      </c>
      <c r="H47">
        <v>0.56740000000000002</v>
      </c>
      <c r="I47" t="s">
        <v>309</v>
      </c>
    </row>
    <row r="48" spans="2:9" x14ac:dyDescent="0.25">
      <c r="B48" t="s">
        <v>306</v>
      </c>
      <c r="C48" s="318">
        <v>-768000</v>
      </c>
      <c r="D48" s="318">
        <f>-1788738.68945963+D36</f>
        <v>-1899555.6894596301</v>
      </c>
      <c r="E48" s="318">
        <f>+E36+E9</f>
        <v>-1620121.689459634</v>
      </c>
      <c r="F48" s="318">
        <f>+F9+F36</f>
        <v>-1620121.689459634</v>
      </c>
      <c r="G48" s="318">
        <f>+G9+G36</f>
        <v>-1619721.689459634</v>
      </c>
      <c r="H48" s="318">
        <f>-987159.459639756+H36</f>
        <v>-1080081.459639756</v>
      </c>
    </row>
    <row r="49" spans="2:9" x14ac:dyDescent="0.25">
      <c r="B49" t="s">
        <v>230</v>
      </c>
      <c r="C49" s="318">
        <v>0</v>
      </c>
      <c r="D49" s="318">
        <v>621267</v>
      </c>
      <c r="E49" s="318">
        <v>1761257.1428571427</v>
      </c>
      <c r="F49" s="318">
        <v>1761257.1428571427</v>
      </c>
      <c r="G49" s="318">
        <v>1761257.1428571427</v>
      </c>
      <c r="H49" s="318">
        <v>1174171.4285714286</v>
      </c>
    </row>
    <row r="50" spans="2:9" x14ac:dyDescent="0.25">
      <c r="B50" t="s">
        <v>308</v>
      </c>
      <c r="C50" s="318">
        <v>-768000</v>
      </c>
      <c r="D50" s="318">
        <f>+D48*D47</f>
        <v>-1696113.2751185037</v>
      </c>
      <c r="E50" s="318">
        <f t="shared" ref="E50:H50" si="9">+E48*E47</f>
        <v>-1291561.0108372204</v>
      </c>
      <c r="F50" s="318">
        <f t="shared" si="9"/>
        <v>-1153202.6185573675</v>
      </c>
      <c r="G50" s="318">
        <f t="shared" si="9"/>
        <v>-1029333.1336515973</v>
      </c>
      <c r="H50" s="318">
        <f t="shared" si="9"/>
        <v>-612838.22019959753</v>
      </c>
      <c r="I50" s="319">
        <f>SUM(C50:H50)</f>
        <v>-6551048.2583642863</v>
      </c>
    </row>
    <row r="51" spans="2:9" x14ac:dyDescent="0.25">
      <c r="B51" t="s">
        <v>307</v>
      </c>
      <c r="C51" s="318">
        <v>0</v>
      </c>
      <c r="D51" s="318">
        <f>+D27*D47</f>
        <v>554729.30429999996</v>
      </c>
      <c r="E51" s="318">
        <f t="shared" ref="E51:H51" si="10">+E27*E47</f>
        <v>1404074.1942857143</v>
      </c>
      <c r="F51" s="318">
        <f t="shared" si="10"/>
        <v>1253662.8342857142</v>
      </c>
      <c r="G51" s="318">
        <f t="shared" si="10"/>
        <v>1119278.914285714</v>
      </c>
      <c r="H51" s="318">
        <f t="shared" si="10"/>
        <v>666224.86857142858</v>
      </c>
      <c r="I51" s="319">
        <f>SUM(C51:H51)</f>
        <v>4997970.1157285711</v>
      </c>
    </row>
    <row r="52" spans="2:9" x14ac:dyDescent="0.25">
      <c r="I52" s="319">
        <f>+I51/-I50</f>
        <v>0.76292677425284317</v>
      </c>
    </row>
  </sheetData>
  <mergeCells count="8">
    <mergeCell ref="B1:H1"/>
    <mergeCell ref="B2:B3"/>
    <mergeCell ref="C2:C3"/>
    <mergeCell ref="D2:D3"/>
    <mergeCell ref="E2:E3"/>
    <mergeCell ref="F2:F3"/>
    <mergeCell ref="G2:G3"/>
    <mergeCell ref="H2:H3"/>
  </mergeCells>
  <pageMargins left="0.7" right="0.7" top="0.75" bottom="0.75" header="0.3" footer="0.3"/>
  <pageSetup paperSize="126" scale="5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07"/>
  <sheetViews>
    <sheetView topLeftCell="A79" zoomScale="70" zoomScaleNormal="70" workbookViewId="0">
      <selection activeCell="K35" sqref="K35"/>
    </sheetView>
  </sheetViews>
  <sheetFormatPr baseColWidth="10" defaultRowHeight="15" x14ac:dyDescent="0.25"/>
  <cols>
    <col min="1" max="1" width="3" customWidth="1"/>
    <col min="2" max="2" width="57.28515625" customWidth="1"/>
    <col min="3" max="3" width="18.42578125" customWidth="1"/>
    <col min="4" max="4" width="19.42578125" customWidth="1"/>
    <col min="5" max="5" width="16.5703125" customWidth="1"/>
    <col min="6" max="8" width="16.28515625" customWidth="1"/>
    <col min="9" max="9" width="20.7109375" customWidth="1"/>
    <col min="12" max="12" width="13.5703125" bestFit="1" customWidth="1"/>
  </cols>
  <sheetData>
    <row r="1" spans="2:8" ht="46.5" x14ac:dyDescent="0.7">
      <c r="B1" s="407" t="s">
        <v>305</v>
      </c>
      <c r="C1" s="407"/>
      <c r="D1" s="407"/>
      <c r="E1" s="407"/>
      <c r="F1" s="407"/>
      <c r="G1" s="407"/>
      <c r="H1" s="407"/>
    </row>
    <row r="2" spans="2:8" ht="31.5" x14ac:dyDescent="0.5">
      <c r="B2" s="419" t="s">
        <v>303</v>
      </c>
      <c r="C2" s="419"/>
      <c r="D2" s="419"/>
      <c r="E2" s="419"/>
      <c r="F2" s="419"/>
      <c r="G2" s="419"/>
      <c r="H2" s="419"/>
    </row>
    <row r="3" spans="2:8" ht="29.25" thickBot="1" x14ac:dyDescent="0.5">
      <c r="B3" s="408" t="s">
        <v>206</v>
      </c>
      <c r="C3" s="408"/>
      <c r="D3" s="408"/>
      <c r="E3" s="408"/>
      <c r="F3" s="408"/>
      <c r="G3" s="408"/>
      <c r="H3" s="408"/>
    </row>
    <row r="4" spans="2:8" x14ac:dyDescent="0.25">
      <c r="B4" s="409" t="s">
        <v>207</v>
      </c>
      <c r="C4" s="411" t="s">
        <v>1</v>
      </c>
      <c r="D4" s="413" t="s">
        <v>2</v>
      </c>
      <c r="E4" s="413" t="s">
        <v>3</v>
      </c>
      <c r="F4" s="413" t="s">
        <v>34</v>
      </c>
      <c r="G4" s="413" t="s">
        <v>35</v>
      </c>
      <c r="H4" s="415" t="s">
        <v>36</v>
      </c>
    </row>
    <row r="5" spans="2:8" ht="15.75" thickBot="1" x14ac:dyDescent="0.3">
      <c r="B5" s="410"/>
      <c r="C5" s="412"/>
      <c r="D5" s="414"/>
      <c r="E5" s="414"/>
      <c r="F5" s="414"/>
      <c r="G5" s="414"/>
      <c r="H5" s="416"/>
    </row>
    <row r="6" spans="2:8" ht="21" x14ac:dyDescent="0.35">
      <c r="B6" s="191" t="s">
        <v>208</v>
      </c>
      <c r="C6" s="187">
        <f>SUM(C7:C10)</f>
        <v>-768000</v>
      </c>
      <c r="D6" s="132"/>
      <c r="E6" s="132"/>
      <c r="F6" s="132"/>
      <c r="G6" s="132"/>
      <c r="H6" s="133"/>
    </row>
    <row r="7" spans="2:8" ht="21" x14ac:dyDescent="0.35">
      <c r="B7" s="116" t="s">
        <v>209</v>
      </c>
      <c r="C7" s="117">
        <v>-640000</v>
      </c>
      <c r="D7" s="118"/>
      <c r="E7" s="118"/>
      <c r="F7" s="118"/>
      <c r="G7" s="118"/>
      <c r="H7" s="119"/>
    </row>
    <row r="8" spans="2:8" ht="21" x14ac:dyDescent="0.35">
      <c r="B8" s="116" t="s">
        <v>210</v>
      </c>
      <c r="C8" s="117">
        <v>-20000</v>
      </c>
      <c r="D8" s="118"/>
      <c r="E8" s="118"/>
      <c r="F8" s="118"/>
      <c r="G8" s="118"/>
      <c r="H8" s="119"/>
    </row>
    <row r="9" spans="2:8" ht="21" x14ac:dyDescent="0.35">
      <c r="B9" s="121" t="s">
        <v>211</v>
      </c>
      <c r="C9" s="117">
        <v>-108000</v>
      </c>
      <c r="D9" s="118"/>
      <c r="E9" s="118"/>
      <c r="F9" s="118"/>
      <c r="G9" s="118"/>
      <c r="H9" s="119"/>
    </row>
    <row r="10" spans="2:8" ht="21.75" thickBot="1" x14ac:dyDescent="0.4">
      <c r="B10" s="122"/>
      <c r="C10" s="123"/>
      <c r="D10" s="124"/>
      <c r="E10" s="124"/>
      <c r="F10" s="124"/>
      <c r="G10" s="124"/>
      <c r="H10" s="125"/>
    </row>
    <row r="11" spans="2:8" ht="21.75" thickBot="1" x14ac:dyDescent="0.4">
      <c r="B11" s="126" t="s">
        <v>212</v>
      </c>
      <c r="C11" s="127">
        <v>0</v>
      </c>
      <c r="D11" s="127">
        <f>(D12+D22+D25+D27)</f>
        <v>-1788738.689459634</v>
      </c>
      <c r="E11" s="127">
        <f>(E12+E22+E25+E27)</f>
        <v>-1502469.689459634</v>
      </c>
      <c r="F11" s="127">
        <f>(F12+F22+F25+F27)</f>
        <v>-1495213.689459634</v>
      </c>
      <c r="G11" s="127">
        <f>(G12+G22+G25+G27)</f>
        <v>-1487109.689459634</v>
      </c>
      <c r="H11" s="128">
        <f>(H12+H22+H25+H27)</f>
        <v>-987159.45963975589</v>
      </c>
    </row>
    <row r="12" spans="2:8" ht="23.25" x14ac:dyDescent="0.35">
      <c r="B12" s="130" t="s">
        <v>213</v>
      </c>
      <c r="C12" s="131"/>
      <c r="D12" s="132">
        <f>SUM(D13+D19)</f>
        <v>-1715188.1951274076</v>
      </c>
      <c r="E12" s="132">
        <f t="shared" ref="E12:H12" si="0">SUM(E13+E19)</f>
        <v>-1435754.1951274076</v>
      </c>
      <c r="F12" s="132">
        <f t="shared" si="0"/>
        <v>-1435754.1951274076</v>
      </c>
      <c r="G12" s="132">
        <f t="shared" si="0"/>
        <v>-1435754.1951274076</v>
      </c>
      <c r="H12" s="133">
        <f t="shared" si="0"/>
        <v>-957169.46341827163</v>
      </c>
    </row>
    <row r="13" spans="2:8" ht="21" x14ac:dyDescent="0.35">
      <c r="B13" s="134" t="s">
        <v>214</v>
      </c>
      <c r="C13" s="135"/>
      <c r="D13" s="118">
        <v>-1435754.1951274076</v>
      </c>
      <c r="E13" s="118">
        <v>-1435754.1951274076</v>
      </c>
      <c r="F13" s="118">
        <v>-1435754.1951274076</v>
      </c>
      <c r="G13" s="118">
        <v>-1435754.1951274076</v>
      </c>
      <c r="H13" s="119">
        <v>-957169.46341827163</v>
      </c>
    </row>
    <row r="14" spans="2:8" ht="21" x14ac:dyDescent="0.35">
      <c r="B14" s="136" t="s">
        <v>215</v>
      </c>
      <c r="C14" s="135"/>
      <c r="D14" s="118">
        <v>-1209751.5877200002</v>
      </c>
      <c r="E14" s="118">
        <v>-1209751.5877200002</v>
      </c>
      <c r="F14" s="118">
        <v>-1209751.5877200002</v>
      </c>
      <c r="G14" s="118">
        <v>-1209751.5877200002</v>
      </c>
      <c r="H14" s="119">
        <v>-806501.05848000001</v>
      </c>
    </row>
    <row r="15" spans="2:8" ht="21" x14ac:dyDescent="0.35">
      <c r="B15" s="136" t="s">
        <v>216</v>
      </c>
      <c r="C15" s="135"/>
      <c r="D15" s="118">
        <v>-114595.19999999998</v>
      </c>
      <c r="E15" s="118">
        <v>-114595.19999999998</v>
      </c>
      <c r="F15" s="118">
        <v>-114595.19999999998</v>
      </c>
      <c r="G15" s="118">
        <v>-114595.19999999998</v>
      </c>
      <c r="H15" s="119">
        <v>-76396.799999999988</v>
      </c>
    </row>
    <row r="16" spans="2:8" ht="21" x14ac:dyDescent="0.35">
      <c r="B16" s="137" t="s">
        <v>217</v>
      </c>
      <c r="C16" s="135"/>
      <c r="D16" s="118">
        <v>-40000</v>
      </c>
      <c r="E16" s="118">
        <v>-40000</v>
      </c>
      <c r="F16" s="118">
        <v>-40000</v>
      </c>
      <c r="G16" s="118">
        <v>-40000</v>
      </c>
      <c r="H16" s="119">
        <v>-26666.666666666668</v>
      </c>
    </row>
    <row r="17" spans="2:20" ht="42" x14ac:dyDescent="0.35">
      <c r="B17" s="138" t="s">
        <v>218</v>
      </c>
      <c r="C17" s="135"/>
      <c r="D17" s="118">
        <v>-24000</v>
      </c>
      <c r="E17" s="118">
        <v>-24000</v>
      </c>
      <c r="F17" s="118">
        <v>-24000</v>
      </c>
      <c r="G17" s="118">
        <v>-24000</v>
      </c>
      <c r="H17" s="119">
        <v>-16000</v>
      </c>
    </row>
    <row r="18" spans="2:20" ht="21" x14ac:dyDescent="0.35">
      <c r="B18" s="139" t="s">
        <v>219</v>
      </c>
      <c r="C18" s="135"/>
      <c r="D18" s="118">
        <v>-47407.407407407409</v>
      </c>
      <c r="E18" s="118">
        <v>-47407.407407407409</v>
      </c>
      <c r="F18" s="118">
        <v>-47407.407407407409</v>
      </c>
      <c r="G18" s="118">
        <v>-47407.407407407409</v>
      </c>
      <c r="H18" s="119">
        <v>-31604.93827160494</v>
      </c>
      <c r="J18" s="307"/>
      <c r="K18" s="307"/>
      <c r="L18" s="307"/>
      <c r="M18" s="307"/>
      <c r="N18" s="307"/>
      <c r="O18" s="307"/>
      <c r="P18" s="307"/>
      <c r="Q18" s="307"/>
      <c r="R18" s="307"/>
      <c r="S18" s="307"/>
      <c r="T18" s="307">
        <v>10</v>
      </c>
    </row>
    <row r="19" spans="2:20" ht="21" x14ac:dyDescent="0.35">
      <c r="B19" s="134" t="s">
        <v>220</v>
      </c>
      <c r="C19" s="135"/>
      <c r="D19" s="118">
        <v>-279434</v>
      </c>
      <c r="E19" s="118">
        <v>0</v>
      </c>
      <c r="F19" s="118">
        <v>0</v>
      </c>
      <c r="G19" s="118">
        <v>0</v>
      </c>
      <c r="H19" s="119">
        <v>0</v>
      </c>
      <c r="K19" s="307"/>
      <c r="L19" s="307"/>
      <c r="M19" s="307"/>
      <c r="N19" s="307"/>
      <c r="O19" s="307"/>
      <c r="P19" s="307"/>
      <c r="Q19" s="307"/>
      <c r="R19" s="307"/>
      <c r="S19" s="307"/>
      <c r="T19" s="307">
        <v>20</v>
      </c>
    </row>
    <row r="20" spans="2:20" ht="21" x14ac:dyDescent="0.35">
      <c r="B20" s="139" t="s">
        <v>221</v>
      </c>
      <c r="C20" s="135"/>
      <c r="D20" s="118">
        <v>-48000</v>
      </c>
      <c r="E20" s="118"/>
      <c r="F20" s="118"/>
      <c r="G20" s="118"/>
      <c r="H20" s="119"/>
      <c r="K20" s="308"/>
      <c r="L20" s="308"/>
      <c r="M20" s="308"/>
      <c r="N20" s="308"/>
      <c r="O20" s="308"/>
      <c r="P20" s="308"/>
      <c r="Q20" s="308"/>
      <c r="R20" s="308"/>
      <c r="S20" s="308"/>
      <c r="T20" s="308">
        <v>49</v>
      </c>
    </row>
    <row r="21" spans="2:20" ht="21.75" thickBot="1" x14ac:dyDescent="0.4">
      <c r="B21" s="139" t="s">
        <v>222</v>
      </c>
      <c r="C21" s="140"/>
      <c r="D21" s="124">
        <v>-231434</v>
      </c>
      <c r="E21" s="124"/>
      <c r="F21" s="124"/>
      <c r="G21" s="124"/>
      <c r="H21" s="125"/>
    </row>
    <row r="22" spans="2:20" ht="23.25" x14ac:dyDescent="0.35">
      <c r="B22" s="141" t="s">
        <v>223</v>
      </c>
      <c r="C22" s="142"/>
      <c r="D22" s="142">
        <f t="shared" ref="D22:H22" si="1">SUM(D23:D24)</f>
        <v>-33024.208617940742</v>
      </c>
      <c r="E22" s="142">
        <f t="shared" si="1"/>
        <v>-33024.208617940742</v>
      </c>
      <c r="F22" s="142">
        <f t="shared" si="1"/>
        <v>-33024.208617940742</v>
      </c>
      <c r="G22" s="142">
        <f t="shared" si="1"/>
        <v>-33024.208617940742</v>
      </c>
      <c r="H22" s="143">
        <f t="shared" si="1"/>
        <v>-22016.139078627162</v>
      </c>
      <c r="K22" s="181"/>
    </row>
    <row r="23" spans="2:20" ht="21" x14ac:dyDescent="0.35">
      <c r="B23" s="144" t="s">
        <v>224</v>
      </c>
      <c r="C23" s="117"/>
      <c r="D23" s="118">
        <v>-18666.666666666668</v>
      </c>
      <c r="E23" s="118">
        <v>-18666.666666666668</v>
      </c>
      <c r="F23" s="118">
        <v>-18666.666666666668</v>
      </c>
      <c r="G23" s="118">
        <v>-18666.666666666668</v>
      </c>
      <c r="H23" s="119">
        <v>-12444.444444444445</v>
      </c>
      <c r="L23" s="309"/>
    </row>
    <row r="24" spans="2:20" ht="21.75" thickBot="1" x14ac:dyDescent="0.4">
      <c r="B24" s="144" t="s">
        <v>225</v>
      </c>
      <c r="C24" s="117"/>
      <c r="D24" s="118">
        <v>-14357.541951274075</v>
      </c>
      <c r="E24" s="118">
        <v>-14357.541951274075</v>
      </c>
      <c r="F24" s="118">
        <v>-14357.541951274075</v>
      </c>
      <c r="G24" s="118">
        <v>-14357.541951274075</v>
      </c>
      <c r="H24" s="119">
        <v>-9571.694634182717</v>
      </c>
    </row>
    <row r="25" spans="2:20" ht="23.25" x14ac:dyDescent="0.35">
      <c r="B25" s="141" t="s">
        <v>226</v>
      </c>
      <c r="C25" s="117"/>
      <c r="D25" s="117">
        <f t="shared" ref="D25:H25" si="2">SUM(D26)</f>
        <v>-8806.2857142857138</v>
      </c>
      <c r="E25" s="117">
        <f t="shared" si="2"/>
        <v>-8806.2857142857138</v>
      </c>
      <c r="F25" s="117">
        <f t="shared" si="2"/>
        <v>-8806.2857142857138</v>
      </c>
      <c r="G25" s="117">
        <f t="shared" si="2"/>
        <v>-8806.2857142857138</v>
      </c>
      <c r="H25" s="145">
        <f t="shared" si="2"/>
        <v>-5870.8571428571431</v>
      </c>
    </row>
    <row r="26" spans="2:20" ht="21.75" thickBot="1" x14ac:dyDescent="0.4">
      <c r="B26" s="144" t="s">
        <v>227</v>
      </c>
      <c r="C26" s="117"/>
      <c r="D26" s="118">
        <v>-8806.2857142857138</v>
      </c>
      <c r="E26" s="118">
        <v>-8806.2857142857138</v>
      </c>
      <c r="F26" s="118">
        <v>-8806.2857142857138</v>
      </c>
      <c r="G26" s="118">
        <v>-8806.2857142857138</v>
      </c>
      <c r="H26" s="119">
        <v>-5870.8571428571431</v>
      </c>
      <c r="J26" s="307"/>
      <c r="K26" s="15"/>
      <c r="L26" s="15"/>
      <c r="M26" s="15"/>
      <c r="N26" s="15"/>
      <c r="O26" s="15"/>
      <c r="P26" s="15"/>
    </row>
    <row r="27" spans="2:20" ht="23.25" x14ac:dyDescent="0.35">
      <c r="B27" s="141" t="s">
        <v>228</v>
      </c>
      <c r="C27" s="117"/>
      <c r="D27" s="117">
        <f>+D28</f>
        <v>-31720</v>
      </c>
      <c r="E27" s="117">
        <f t="shared" ref="E27:G27" si="3">SUM(E28)</f>
        <v>-24885</v>
      </c>
      <c r="F27" s="117">
        <f t="shared" si="3"/>
        <v>-17629</v>
      </c>
      <c r="G27" s="117">
        <f t="shared" si="3"/>
        <v>-9525</v>
      </c>
      <c r="H27" s="145">
        <f>SUM(H28)</f>
        <v>-2103</v>
      </c>
      <c r="K27" s="15"/>
      <c r="L27" s="15"/>
      <c r="M27" s="15"/>
      <c r="N27" s="15"/>
      <c r="O27" s="15"/>
      <c r="P27" s="15"/>
    </row>
    <row r="28" spans="2:20" ht="21.75" thickBot="1" x14ac:dyDescent="0.4">
      <c r="B28" s="122" t="s">
        <v>229</v>
      </c>
      <c r="C28" s="123"/>
      <c r="D28" s="124">
        <v>-31720</v>
      </c>
      <c r="E28" s="124">
        <v>-24885</v>
      </c>
      <c r="F28" s="124">
        <v>-17629</v>
      </c>
      <c r="G28" s="124">
        <v>-9525</v>
      </c>
      <c r="H28" s="125">
        <v>-2103</v>
      </c>
      <c r="P28" s="309"/>
    </row>
    <row r="29" spans="2:20" ht="21.75" thickBot="1" x14ac:dyDescent="0.4">
      <c r="B29" s="146" t="s">
        <v>230</v>
      </c>
      <c r="C29" s="147">
        <v>0</v>
      </c>
      <c r="D29" s="147">
        <f>SUM(D30:D32)</f>
        <v>671517</v>
      </c>
      <c r="E29" s="147">
        <f>SUM(E30:E32)</f>
        <v>2191971.4285714249</v>
      </c>
      <c r="F29" s="147">
        <f>SUM(F30:F32)</f>
        <v>2191971.4285714249</v>
      </c>
      <c r="G29" s="147">
        <f t="shared" ref="G29:H29" si="4">SUM(G30:G32)</f>
        <v>2191971.4285714249</v>
      </c>
      <c r="H29" s="148">
        <f t="shared" si="4"/>
        <v>1461314.2857142875</v>
      </c>
      <c r="J29" s="15"/>
      <c r="K29" s="15"/>
      <c r="L29" s="15"/>
      <c r="M29" s="15"/>
      <c r="N29" s="15"/>
      <c r="O29" s="15"/>
      <c r="P29" s="15"/>
    </row>
    <row r="30" spans="2:20" ht="21" x14ac:dyDescent="0.35">
      <c r="B30" s="149" t="s">
        <v>231</v>
      </c>
      <c r="C30" s="117"/>
      <c r="D30" s="118">
        <v>6400</v>
      </c>
      <c r="E30" s="118">
        <v>38400</v>
      </c>
      <c r="F30" s="118">
        <v>38400</v>
      </c>
      <c r="G30" s="118">
        <v>38400</v>
      </c>
      <c r="H30" s="119">
        <v>25600</v>
      </c>
      <c r="J30" s="310"/>
      <c r="K30" s="15"/>
      <c r="L30" s="15"/>
      <c r="M30" s="15"/>
      <c r="N30" s="15"/>
      <c r="O30" s="15"/>
      <c r="P30" s="15"/>
    </row>
    <row r="31" spans="2:20" ht="21" x14ac:dyDescent="0.35">
      <c r="B31" s="150" t="s">
        <v>232</v>
      </c>
      <c r="C31" s="117"/>
      <c r="D31" s="118">
        <v>413867</v>
      </c>
      <c r="E31" s="118">
        <v>0</v>
      </c>
      <c r="F31" s="118">
        <v>0</v>
      </c>
      <c r="G31" s="118">
        <v>0</v>
      </c>
      <c r="H31" s="119">
        <v>0</v>
      </c>
      <c r="L31" s="15"/>
    </row>
    <row r="32" spans="2:20" ht="21.75" thickBot="1" x14ac:dyDescent="0.4">
      <c r="B32" s="122" t="s">
        <v>233</v>
      </c>
      <c r="C32" s="123"/>
      <c r="D32" s="124">
        <f>201000*1.25</f>
        <v>251250</v>
      </c>
      <c r="E32" s="124">
        <f>1722857.14285714*1.25</f>
        <v>2153571.4285714249</v>
      </c>
      <c r="F32" s="124">
        <f>1722857.14285714*1.25</f>
        <v>2153571.4285714249</v>
      </c>
      <c r="G32" s="124">
        <f>1722857.14285714*1.25</f>
        <v>2153571.4285714249</v>
      </c>
      <c r="H32" s="125">
        <f>1148571.42857143*1.25</f>
        <v>1435714.2857142875</v>
      </c>
      <c r="L32" s="306"/>
    </row>
    <row r="33" spans="2:10" ht="21.75" thickBot="1" x14ac:dyDescent="0.4">
      <c r="B33" s="151" t="s">
        <v>234</v>
      </c>
      <c r="C33" s="152"/>
      <c r="D33" s="152">
        <f t="shared" ref="D33:H33" si="5">D29+D11</f>
        <v>-1117221.689459634</v>
      </c>
      <c r="E33" s="152">
        <f t="shared" si="5"/>
        <v>689501.7391117909</v>
      </c>
      <c r="F33" s="152">
        <f t="shared" si="5"/>
        <v>696757.7391117909</v>
      </c>
      <c r="G33" s="152">
        <f t="shared" si="5"/>
        <v>704861.7391117909</v>
      </c>
      <c r="H33" s="153">
        <f t="shared" si="5"/>
        <v>474154.82607453165</v>
      </c>
    </row>
    <row r="34" spans="2:10" ht="21.75" thickBot="1" x14ac:dyDescent="0.4">
      <c r="B34" s="154" t="s">
        <v>144</v>
      </c>
      <c r="C34" s="152"/>
      <c r="D34" s="155">
        <f>(0.3*D33)*-1</f>
        <v>335166.50683789019</v>
      </c>
      <c r="E34" s="155">
        <f>(0.3*E33)*-1</f>
        <v>-206850.52173353726</v>
      </c>
      <c r="F34" s="155">
        <f>(0.3*F33)*-1</f>
        <v>-209027.32173353728</v>
      </c>
      <c r="G34" s="155">
        <f>(0.3*G33)*-1</f>
        <v>-211458.52173353726</v>
      </c>
      <c r="H34" s="155">
        <f>(0.3*H33)*-1</f>
        <v>-142246.44782235948</v>
      </c>
    </row>
    <row r="35" spans="2:10" ht="21.75" thickBot="1" x14ac:dyDescent="0.4">
      <c r="B35" s="156" t="s">
        <v>235</v>
      </c>
      <c r="C35" s="157"/>
      <c r="D35" s="157">
        <f t="shared" ref="D35:H35" si="6">SUM(D33:D34)</f>
        <v>-782055.18262174376</v>
      </c>
      <c r="E35" s="157">
        <f t="shared" si="6"/>
        <v>482651.21737825364</v>
      </c>
      <c r="F35" s="157">
        <f t="shared" si="6"/>
        <v>487730.41737825365</v>
      </c>
      <c r="G35" s="157">
        <f t="shared" si="6"/>
        <v>493403.21737825364</v>
      </c>
      <c r="H35" s="158">
        <f t="shared" si="6"/>
        <v>331908.37825217214</v>
      </c>
      <c r="J35" s="311"/>
    </row>
    <row r="36" spans="2:10" ht="21" x14ac:dyDescent="0.35">
      <c r="B36" s="150" t="s">
        <v>236</v>
      </c>
      <c r="C36" s="131">
        <v>0</v>
      </c>
      <c r="D36" s="159">
        <v>0</v>
      </c>
      <c r="E36" s="159">
        <v>0</v>
      </c>
      <c r="F36" s="159">
        <v>0</v>
      </c>
      <c r="G36" s="159">
        <v>0</v>
      </c>
      <c r="H36" s="133">
        <v>442469.13580246893</v>
      </c>
    </row>
    <row r="37" spans="2:10" ht="21" x14ac:dyDescent="0.35">
      <c r="B37" s="150" t="s">
        <v>219</v>
      </c>
      <c r="C37" s="160">
        <f t="shared" ref="C37:H37" si="7">C18*-1</f>
        <v>0</v>
      </c>
      <c r="D37" s="118">
        <f t="shared" si="7"/>
        <v>47407.407407407409</v>
      </c>
      <c r="E37" s="118">
        <f t="shared" si="7"/>
        <v>47407.407407407409</v>
      </c>
      <c r="F37" s="118">
        <f t="shared" si="7"/>
        <v>47407.407407407409</v>
      </c>
      <c r="G37" s="118">
        <f t="shared" si="7"/>
        <v>47407.407407407409</v>
      </c>
      <c r="H37" s="145">
        <f t="shared" si="7"/>
        <v>31604.93827160494</v>
      </c>
    </row>
    <row r="38" spans="2:10" ht="21" x14ac:dyDescent="0.35">
      <c r="B38" s="150" t="s">
        <v>237</v>
      </c>
      <c r="C38" s="135">
        <v>0</v>
      </c>
      <c r="D38" s="161">
        <v>-110817</v>
      </c>
      <c r="E38" s="161">
        <v>-117652</v>
      </c>
      <c r="F38" s="161">
        <v>-124908</v>
      </c>
      <c r="G38" s="161">
        <v>-132612</v>
      </c>
      <c r="H38" s="119">
        <v>-92922</v>
      </c>
    </row>
    <row r="39" spans="2:10" ht="21" x14ac:dyDescent="0.35">
      <c r="B39" s="150" t="s">
        <v>238</v>
      </c>
      <c r="C39" s="135"/>
      <c r="D39" s="118">
        <v>614400</v>
      </c>
      <c r="E39" s="118">
        <v>0</v>
      </c>
      <c r="F39" s="118">
        <v>0</v>
      </c>
      <c r="G39" s="118">
        <v>0</v>
      </c>
      <c r="H39" s="119">
        <v>0</v>
      </c>
    </row>
    <row r="40" spans="2:10" ht="21.75" thickBot="1" x14ac:dyDescent="0.4">
      <c r="B40" s="150" t="s">
        <v>239</v>
      </c>
      <c r="C40" s="140">
        <v>0</v>
      </c>
      <c r="D40" s="124">
        <f>C8*-1</f>
        <v>20000</v>
      </c>
      <c r="E40" s="124">
        <v>0</v>
      </c>
      <c r="F40" s="124">
        <v>0</v>
      </c>
      <c r="G40" s="124">
        <v>0</v>
      </c>
      <c r="H40" s="125">
        <v>0</v>
      </c>
    </row>
    <row r="41" spans="2:10" ht="21.75" thickBot="1" x14ac:dyDescent="0.4">
      <c r="B41" s="151" t="s">
        <v>240</v>
      </c>
      <c r="C41" s="152">
        <f>SUM(C35:C40)+C6</f>
        <v>-768000</v>
      </c>
      <c r="D41" s="152">
        <f>SUM(D35:D40)</f>
        <v>-211064.77521433635</v>
      </c>
      <c r="E41" s="152">
        <f>SUM(E35:E40)</f>
        <v>412406.624785661</v>
      </c>
      <c r="F41" s="152">
        <f>SUM(F35:F40)</f>
        <v>410229.82478566107</v>
      </c>
      <c r="G41" s="152">
        <f>SUM(G35:G40)</f>
        <v>408198.624785661</v>
      </c>
      <c r="H41" s="153">
        <f>SUM(H35:H40)</f>
        <v>713060.45232624607</v>
      </c>
    </row>
    <row r="42" spans="2:10" ht="21.75" thickBot="1" x14ac:dyDescent="0.4">
      <c r="B42" s="162" t="s">
        <v>241</v>
      </c>
      <c r="C42" s="163">
        <v>0.12</v>
      </c>
      <c r="D42" s="164"/>
      <c r="E42" s="165"/>
      <c r="F42" s="165"/>
      <c r="G42" s="165"/>
      <c r="H42" s="166"/>
    </row>
    <row r="43" spans="2:10" ht="21.75" thickBot="1" x14ac:dyDescent="0.4">
      <c r="B43" s="151" t="s">
        <v>242</v>
      </c>
      <c r="C43" s="168">
        <f>NPV(C42,D41:H41)+C41</f>
        <v>328338.08656338416</v>
      </c>
      <c r="D43" s="169"/>
      <c r="E43" s="170"/>
      <c r="F43" s="170"/>
      <c r="G43" s="170"/>
      <c r="H43" s="171"/>
    </row>
    <row r="44" spans="2:10" ht="21.75" thickBot="1" x14ac:dyDescent="0.4">
      <c r="B44" s="172" t="s">
        <v>243</v>
      </c>
      <c r="C44" s="173">
        <f>IRR(C41:H41)</f>
        <v>0.22398219201154967</v>
      </c>
      <c r="D44" s="174"/>
      <c r="E44" s="175"/>
      <c r="F44" s="175"/>
      <c r="G44" s="175"/>
      <c r="H44" s="176"/>
    </row>
    <row r="45" spans="2:10" ht="21.75" thickBot="1" x14ac:dyDescent="0.4">
      <c r="B45" s="172" t="s">
        <v>244</v>
      </c>
      <c r="C45" s="177">
        <f>I52/-I51</f>
        <v>1.0851500938644569</v>
      </c>
      <c r="D45" s="178"/>
      <c r="E45" s="179"/>
      <c r="F45" s="179"/>
      <c r="G45" s="179"/>
      <c r="H45" s="180"/>
    </row>
    <row r="46" spans="2:10" ht="21" x14ac:dyDescent="0.35">
      <c r="B46" s="312"/>
      <c r="C46" s="313"/>
      <c r="D46" s="314"/>
      <c r="E46" s="314"/>
      <c r="F46" s="314"/>
      <c r="G46" s="314"/>
      <c r="H46" s="314"/>
    </row>
    <row r="47" spans="2:10" ht="21" x14ac:dyDescent="0.35">
      <c r="B47" s="312"/>
      <c r="C47" s="313"/>
      <c r="D47" s="317">
        <v>1</v>
      </c>
      <c r="E47" s="317">
        <v>2</v>
      </c>
      <c r="F47" s="317">
        <v>3</v>
      </c>
      <c r="G47" s="317">
        <v>4</v>
      </c>
      <c r="H47" s="317">
        <v>5</v>
      </c>
    </row>
    <row r="48" spans="2:10" ht="21" x14ac:dyDescent="0.35">
      <c r="B48" s="312" t="s">
        <v>310</v>
      </c>
      <c r="C48" s="313"/>
      <c r="D48" s="314">
        <v>0.89290000000000003</v>
      </c>
      <c r="E48" s="314">
        <v>0.79720000000000002</v>
      </c>
      <c r="F48" s="314">
        <v>0.71179999999999999</v>
      </c>
      <c r="G48" s="314">
        <v>0.63549999999999995</v>
      </c>
      <c r="H48" s="314">
        <v>0.56740000000000002</v>
      </c>
      <c r="I48" s="316" t="s">
        <v>309</v>
      </c>
    </row>
    <row r="49" spans="2:11" ht="21" x14ac:dyDescent="0.35">
      <c r="B49" s="315" t="s">
        <v>306</v>
      </c>
      <c r="C49" s="181">
        <f t="shared" ref="C49:G49" si="8">C6+C11+C38</f>
        <v>-768000</v>
      </c>
      <c r="D49" s="181">
        <f>D6+D11+D38</f>
        <v>-1899555.689459634</v>
      </c>
      <c r="E49" s="181">
        <f t="shared" si="8"/>
        <v>-1620121.689459634</v>
      </c>
      <c r="F49" s="181">
        <f t="shared" si="8"/>
        <v>-1620121.689459634</v>
      </c>
      <c r="G49" s="181">
        <f t="shared" si="8"/>
        <v>-1619721.689459634</v>
      </c>
      <c r="H49" s="181">
        <f>H6+H11+H38</f>
        <v>-1080081.459639756</v>
      </c>
      <c r="I49" s="181"/>
    </row>
    <row r="50" spans="2:11" x14ac:dyDescent="0.25">
      <c r="B50" s="181" t="s">
        <v>230</v>
      </c>
      <c r="C50" s="181">
        <f t="shared" ref="C50:H50" si="9">C29+C36+C37+C39+C40</f>
        <v>0</v>
      </c>
      <c r="D50" s="181">
        <f>D29+D36+D37+D39+D40</f>
        <v>1353324.4074074074</v>
      </c>
      <c r="E50" s="181">
        <f t="shared" si="9"/>
        <v>2239378.8359788321</v>
      </c>
      <c r="F50" s="181">
        <f t="shared" si="9"/>
        <v>2239378.8359788321</v>
      </c>
      <c r="G50" s="181">
        <f t="shared" si="9"/>
        <v>2239378.8359788321</v>
      </c>
      <c r="H50" s="181">
        <f t="shared" si="9"/>
        <v>1935388.3597883615</v>
      </c>
      <c r="I50" s="181"/>
    </row>
    <row r="51" spans="2:11" x14ac:dyDescent="0.25">
      <c r="B51" t="s">
        <v>308</v>
      </c>
      <c r="C51" s="15">
        <v>-768000</v>
      </c>
      <c r="D51" s="15">
        <f>+D49*D48</f>
        <v>-1696113.2751185072</v>
      </c>
      <c r="E51" s="15">
        <f>+E49*E48</f>
        <v>-1291561.0108372204</v>
      </c>
      <c r="F51" s="15">
        <f>+F49*F48</f>
        <v>-1153202.6185573675</v>
      </c>
      <c r="G51" s="15">
        <f>+G49*G48</f>
        <v>-1029333.1336515973</v>
      </c>
      <c r="H51" s="15">
        <f>+H49*H48</f>
        <v>-612838.22019959753</v>
      </c>
      <c r="I51" s="15">
        <f>SUM(C51:H51)</f>
        <v>-6551048.25836429</v>
      </c>
      <c r="K51" s="15"/>
    </row>
    <row r="52" spans="2:11" x14ac:dyDescent="0.25">
      <c r="B52" t="s">
        <v>307</v>
      </c>
      <c r="C52" s="15">
        <v>0</v>
      </c>
      <c r="D52" s="15">
        <f>+D50*D48</f>
        <v>1208383.3633740742</v>
      </c>
      <c r="E52" s="15">
        <f>+E50*E48</f>
        <v>1785232.8080423251</v>
      </c>
      <c r="F52" s="15">
        <f>+F50*F48</f>
        <v>1593989.8554497326</v>
      </c>
      <c r="G52" s="15">
        <f>+G50*G48</f>
        <v>1423125.2502645478</v>
      </c>
      <c r="H52" s="15">
        <f>+H50*H48</f>
        <v>1098139.3553439162</v>
      </c>
      <c r="I52" s="15">
        <f>SUM(C52:H52)</f>
        <v>7108870.6324745957</v>
      </c>
      <c r="K52" s="15"/>
    </row>
    <row r="53" spans="2:11" x14ac:dyDescent="0.25">
      <c r="C53" s="181"/>
    </row>
    <row r="54" spans="2:11" x14ac:dyDescent="0.25">
      <c r="C54" s="318"/>
      <c r="D54" s="318"/>
      <c r="E54" s="318"/>
      <c r="F54" s="318"/>
      <c r="G54" s="318"/>
      <c r="H54" s="318"/>
    </row>
    <row r="55" spans="2:11" ht="46.5" x14ac:dyDescent="0.7">
      <c r="B55" s="407" t="s">
        <v>205</v>
      </c>
      <c r="C55" s="407"/>
      <c r="D55" s="407"/>
      <c r="E55" s="407"/>
      <c r="F55" s="407"/>
      <c r="G55" s="407"/>
      <c r="H55" s="407"/>
    </row>
    <row r="56" spans="2:11" ht="31.5" x14ac:dyDescent="0.5">
      <c r="B56" s="419" t="s">
        <v>304</v>
      </c>
      <c r="C56" s="419"/>
      <c r="D56" s="419"/>
      <c r="E56" s="419"/>
      <c r="F56" s="419"/>
      <c r="G56" s="419"/>
      <c r="H56" s="419"/>
    </row>
    <row r="57" spans="2:11" ht="29.25" thickBot="1" x14ac:dyDescent="0.5">
      <c r="B57" s="408" t="s">
        <v>206</v>
      </c>
      <c r="C57" s="408"/>
      <c r="D57" s="408"/>
      <c r="E57" s="408"/>
      <c r="F57" s="408"/>
      <c r="G57" s="408"/>
      <c r="H57" s="408"/>
    </row>
    <row r="58" spans="2:11" x14ac:dyDescent="0.25">
      <c r="B58" s="409" t="s">
        <v>207</v>
      </c>
      <c r="C58" s="411" t="s">
        <v>1</v>
      </c>
      <c r="D58" s="413" t="s">
        <v>2</v>
      </c>
      <c r="E58" s="413" t="s">
        <v>3</v>
      </c>
      <c r="F58" s="413" t="s">
        <v>34</v>
      </c>
      <c r="G58" s="413" t="s">
        <v>35</v>
      </c>
      <c r="H58" s="415" t="s">
        <v>36</v>
      </c>
    </row>
    <row r="59" spans="2:11" ht="15.75" thickBot="1" x14ac:dyDescent="0.3">
      <c r="B59" s="410"/>
      <c r="C59" s="412"/>
      <c r="D59" s="414"/>
      <c r="E59" s="414"/>
      <c r="F59" s="414"/>
      <c r="G59" s="414"/>
      <c r="H59" s="416"/>
    </row>
    <row r="60" spans="2:11" ht="21" x14ac:dyDescent="0.35">
      <c r="B60" s="191" t="s">
        <v>208</v>
      </c>
      <c r="C60" s="187">
        <f>SUM(C61:C64)</f>
        <v>-768000</v>
      </c>
      <c r="D60" s="132"/>
      <c r="E60" s="132"/>
      <c r="F60" s="132"/>
      <c r="G60" s="132"/>
      <c r="H60" s="133"/>
    </row>
    <row r="61" spans="2:11" ht="21" x14ac:dyDescent="0.35">
      <c r="B61" s="116" t="s">
        <v>209</v>
      </c>
      <c r="C61" s="117">
        <f>-640000</f>
        <v>-640000</v>
      </c>
      <c r="D61" s="118"/>
      <c r="E61" s="118"/>
      <c r="F61" s="118"/>
      <c r="G61" s="118"/>
      <c r="H61" s="119"/>
    </row>
    <row r="62" spans="2:11" ht="21" x14ac:dyDescent="0.35">
      <c r="B62" s="116" t="s">
        <v>210</v>
      </c>
      <c r="C62" s="117">
        <f>-20000</f>
        <v>-20000</v>
      </c>
      <c r="D62" s="118"/>
      <c r="E62" s="118"/>
      <c r="F62" s="118"/>
      <c r="G62" s="118"/>
      <c r="H62" s="119"/>
    </row>
    <row r="63" spans="2:11" ht="21" x14ac:dyDescent="0.35">
      <c r="B63" s="121" t="s">
        <v>211</v>
      </c>
      <c r="C63" s="117">
        <f>-108000</f>
        <v>-108000</v>
      </c>
      <c r="D63" s="118"/>
      <c r="E63" s="118"/>
      <c r="F63" s="118"/>
      <c r="G63" s="118"/>
      <c r="H63" s="119"/>
    </row>
    <row r="64" spans="2:11" ht="21.75" thickBot="1" x14ac:dyDescent="0.4">
      <c r="B64" s="122"/>
      <c r="C64" s="123"/>
      <c r="D64" s="124"/>
      <c r="E64" s="124"/>
      <c r="F64" s="124"/>
      <c r="G64" s="124"/>
      <c r="H64" s="125"/>
    </row>
    <row r="65" spans="2:8" ht="21.75" thickBot="1" x14ac:dyDescent="0.4">
      <c r="B65" s="126" t="s">
        <v>212</v>
      </c>
      <c r="C65" s="127">
        <f t="shared" ref="C65:H65" si="10">(C66+C76+C79+C81)</f>
        <v>0</v>
      </c>
      <c r="D65" s="127">
        <f t="shared" si="10"/>
        <v>-1757018.4943322265</v>
      </c>
      <c r="E65" s="127">
        <f t="shared" si="10"/>
        <v>-1477584.689459634</v>
      </c>
      <c r="F65" s="127">
        <f t="shared" si="10"/>
        <v>-1477584.689459634</v>
      </c>
      <c r="G65" s="127">
        <f t="shared" si="10"/>
        <v>-1477584.689459634</v>
      </c>
      <c r="H65" s="128">
        <f t="shared" si="10"/>
        <v>-985056.45963975589</v>
      </c>
    </row>
    <row r="66" spans="2:8" ht="23.25" x14ac:dyDescent="0.35">
      <c r="B66" s="130" t="s">
        <v>213</v>
      </c>
      <c r="C66" s="131"/>
      <c r="D66" s="132">
        <f t="shared" ref="D66:H66" si="11">SUM(D67+D73)</f>
        <v>-1715188</v>
      </c>
      <c r="E66" s="132">
        <f t="shared" si="11"/>
        <v>-1435754.1951274076</v>
      </c>
      <c r="F66" s="132">
        <f t="shared" si="11"/>
        <v>-1435754.1951274076</v>
      </c>
      <c r="G66" s="132">
        <f t="shared" si="11"/>
        <v>-1435754.1951274076</v>
      </c>
      <c r="H66" s="133">
        <f t="shared" si="11"/>
        <v>-957169.46341827163</v>
      </c>
    </row>
    <row r="67" spans="2:8" ht="21" x14ac:dyDescent="0.35">
      <c r="B67" s="134" t="s">
        <v>214</v>
      </c>
      <c r="C67" s="135"/>
      <c r="D67" s="118">
        <v>-1435754</v>
      </c>
      <c r="E67" s="118">
        <v>-1435754.1951274076</v>
      </c>
      <c r="F67" s="118">
        <v>-1435754.1951274076</v>
      </c>
      <c r="G67" s="118">
        <v>-1435754.1951274076</v>
      </c>
      <c r="H67" s="119">
        <v>-957169.46341827163</v>
      </c>
    </row>
    <row r="68" spans="2:8" ht="21" x14ac:dyDescent="0.35">
      <c r="B68" s="136" t="s">
        <v>215</v>
      </c>
      <c r="C68" s="135"/>
      <c r="D68" s="118">
        <v>-1209751.5877200002</v>
      </c>
      <c r="E68" s="118">
        <v>-1209751.5877200002</v>
      </c>
      <c r="F68" s="118">
        <v>-1209751.5877200002</v>
      </c>
      <c r="G68" s="118">
        <v>-1209751.5877200002</v>
      </c>
      <c r="H68" s="119">
        <v>-806501.05848000001</v>
      </c>
    </row>
    <row r="69" spans="2:8" ht="21" x14ac:dyDescent="0.35">
      <c r="B69" s="136" t="s">
        <v>216</v>
      </c>
      <c r="C69" s="135"/>
      <c r="D69" s="118">
        <v>-114595.19999999998</v>
      </c>
      <c r="E69" s="118">
        <v>-114595.19999999998</v>
      </c>
      <c r="F69" s="118">
        <v>-114595.19999999998</v>
      </c>
      <c r="G69" s="118">
        <v>-114595.19999999998</v>
      </c>
      <c r="H69" s="119">
        <v>-76396.799999999988</v>
      </c>
    </row>
    <row r="70" spans="2:8" ht="21" x14ac:dyDescent="0.35">
      <c r="B70" s="137" t="s">
        <v>217</v>
      </c>
      <c r="C70" s="135"/>
      <c r="D70" s="118">
        <v>-40000</v>
      </c>
      <c r="E70" s="118">
        <v>-40000</v>
      </c>
      <c r="F70" s="118">
        <v>-40000</v>
      </c>
      <c r="G70" s="118">
        <v>-40000</v>
      </c>
      <c r="H70" s="119">
        <v>-26666.666666666668</v>
      </c>
    </row>
    <row r="71" spans="2:8" ht="42" x14ac:dyDescent="0.35">
      <c r="B71" s="138" t="s">
        <v>218</v>
      </c>
      <c r="C71" s="135"/>
      <c r="D71" s="118">
        <v>-24000</v>
      </c>
      <c r="E71" s="118">
        <v>-24000</v>
      </c>
      <c r="F71" s="118">
        <v>-24000</v>
      </c>
      <c r="G71" s="118">
        <v>-24000</v>
      </c>
      <c r="H71" s="119">
        <v>-16000</v>
      </c>
    </row>
    <row r="72" spans="2:8" ht="21" x14ac:dyDescent="0.35">
      <c r="B72" s="139" t="s">
        <v>219</v>
      </c>
      <c r="C72" s="135"/>
      <c r="D72" s="118">
        <v>-47407.407407407409</v>
      </c>
      <c r="E72" s="118">
        <v>-47407.407407407409</v>
      </c>
      <c r="F72" s="118">
        <v>-47407.407407407409</v>
      </c>
      <c r="G72" s="118">
        <v>-47407.407407407409</v>
      </c>
      <c r="H72" s="119">
        <v>-31604.93827160494</v>
      </c>
    </row>
    <row r="73" spans="2:8" ht="21" x14ac:dyDescent="0.35">
      <c r="B73" s="134" t="s">
        <v>220</v>
      </c>
      <c r="C73" s="135"/>
      <c r="D73" s="118">
        <v>-279434</v>
      </c>
      <c r="E73" s="118">
        <v>0</v>
      </c>
      <c r="F73" s="118">
        <v>0</v>
      </c>
      <c r="G73" s="118">
        <v>0</v>
      </c>
      <c r="H73" s="119">
        <v>0</v>
      </c>
    </row>
    <row r="74" spans="2:8" ht="21" x14ac:dyDescent="0.35">
      <c r="B74" s="139" t="s">
        <v>221</v>
      </c>
      <c r="C74" s="135"/>
      <c r="D74" s="305">
        <v>-48000</v>
      </c>
      <c r="E74" s="118"/>
      <c r="F74" s="118"/>
      <c r="G74" s="118"/>
      <c r="H74" s="119"/>
    </row>
    <row r="75" spans="2:8" ht="21.75" thickBot="1" x14ac:dyDescent="0.4">
      <c r="B75" s="139" t="s">
        <v>222</v>
      </c>
      <c r="C75" s="140"/>
      <c r="D75" s="124">
        <v>-231434</v>
      </c>
      <c r="E75" s="124"/>
      <c r="F75" s="124"/>
      <c r="G75" s="124"/>
      <c r="H75" s="125"/>
    </row>
    <row r="76" spans="2:8" ht="23.25" x14ac:dyDescent="0.35">
      <c r="B76" s="141" t="s">
        <v>223</v>
      </c>
      <c r="C76" s="142"/>
      <c r="D76" s="142">
        <f t="shared" ref="D76:H76" si="12">SUM(D77:D78)</f>
        <v>-33024.208617940742</v>
      </c>
      <c r="E76" s="142">
        <f t="shared" si="12"/>
        <v>-33024.208617940742</v>
      </c>
      <c r="F76" s="142">
        <f t="shared" si="12"/>
        <v>-33024.208617940742</v>
      </c>
      <c r="G76" s="142">
        <f t="shared" si="12"/>
        <v>-33024.208617940742</v>
      </c>
      <c r="H76" s="143">
        <f t="shared" si="12"/>
        <v>-22016.139078627162</v>
      </c>
    </row>
    <row r="77" spans="2:8" ht="21" x14ac:dyDescent="0.35">
      <c r="B77" s="144" t="s">
        <v>224</v>
      </c>
      <c r="C77" s="117"/>
      <c r="D77" s="118">
        <v>-18666.666666666668</v>
      </c>
      <c r="E77" s="118">
        <v>-18666.666666666668</v>
      </c>
      <c r="F77" s="118">
        <v>-18666.666666666668</v>
      </c>
      <c r="G77" s="118">
        <v>-18666.666666666668</v>
      </c>
      <c r="H77" s="119">
        <v>-12444.444444444445</v>
      </c>
    </row>
    <row r="78" spans="2:8" ht="21.75" thickBot="1" x14ac:dyDescent="0.4">
      <c r="B78" s="144" t="s">
        <v>225</v>
      </c>
      <c r="C78" s="117"/>
      <c r="D78" s="118">
        <v>-14357.541951274075</v>
      </c>
      <c r="E78" s="118">
        <v>-14357.541951274075</v>
      </c>
      <c r="F78" s="118">
        <v>-14357.541951274075</v>
      </c>
      <c r="G78" s="118">
        <v>-14357.541951274075</v>
      </c>
      <c r="H78" s="119">
        <v>-9571.694634182717</v>
      </c>
    </row>
    <row r="79" spans="2:8" ht="23.25" x14ac:dyDescent="0.35">
      <c r="B79" s="141" t="s">
        <v>226</v>
      </c>
      <c r="C79" s="117"/>
      <c r="D79" s="117">
        <f t="shared" ref="D79:H79" si="13">SUM(D80)</f>
        <v>-8806.2857142857138</v>
      </c>
      <c r="E79" s="117">
        <f t="shared" si="13"/>
        <v>-8806.2857142857138</v>
      </c>
      <c r="F79" s="117">
        <f t="shared" si="13"/>
        <v>-8806.2857142857138</v>
      </c>
      <c r="G79" s="117">
        <f t="shared" si="13"/>
        <v>-8806.2857142857138</v>
      </c>
      <c r="H79" s="145">
        <f t="shared" si="13"/>
        <v>-5870.8571428571431</v>
      </c>
    </row>
    <row r="80" spans="2:8" ht="21.75" thickBot="1" x14ac:dyDescent="0.4">
      <c r="B80" s="144" t="s">
        <v>227</v>
      </c>
      <c r="C80" s="117"/>
      <c r="D80" s="118">
        <v>-8806.2857142857138</v>
      </c>
      <c r="E80" s="118">
        <v>-8806.2857142857138</v>
      </c>
      <c r="F80" s="118">
        <v>-8806.2857142857138</v>
      </c>
      <c r="G80" s="118">
        <v>-8806.2857142857138</v>
      </c>
      <c r="H80" s="119">
        <v>-5870.8571428571431</v>
      </c>
    </row>
    <row r="81" spans="2:8" ht="23.25" x14ac:dyDescent="0.35">
      <c r="B81" s="141" t="s">
        <v>228</v>
      </c>
      <c r="C81" s="117">
        <f t="shared" ref="C81:H81" si="14">SUM(C82)</f>
        <v>0</v>
      </c>
      <c r="D81" s="117">
        <f t="shared" si="14"/>
        <v>0</v>
      </c>
      <c r="E81" s="117">
        <f t="shared" si="14"/>
        <v>0</v>
      </c>
      <c r="F81" s="117">
        <f t="shared" si="14"/>
        <v>0</v>
      </c>
      <c r="G81" s="117">
        <f t="shared" si="14"/>
        <v>0</v>
      </c>
      <c r="H81" s="145">
        <f t="shared" si="14"/>
        <v>0</v>
      </c>
    </row>
    <row r="82" spans="2:8" ht="21.75" thickBot="1" x14ac:dyDescent="0.4">
      <c r="B82" s="122" t="s">
        <v>229</v>
      </c>
      <c r="C82" s="123"/>
      <c r="D82" s="124"/>
      <c r="E82" s="124"/>
      <c r="F82" s="124"/>
      <c r="G82" s="124"/>
      <c r="H82" s="125"/>
    </row>
    <row r="83" spans="2:8" ht="21.75" thickBot="1" x14ac:dyDescent="0.4">
      <c r="B83" s="146" t="s">
        <v>230</v>
      </c>
      <c r="C83" s="147">
        <f t="shared" ref="C83:H83" si="15">SUM(C84:C86)</f>
        <v>0</v>
      </c>
      <c r="D83" s="147">
        <f t="shared" si="15"/>
        <v>289650</v>
      </c>
      <c r="E83" s="147">
        <f t="shared" si="15"/>
        <v>2191971.4285714249</v>
      </c>
      <c r="F83" s="147">
        <f t="shared" si="15"/>
        <v>2191971.4285714249</v>
      </c>
      <c r="G83" s="147">
        <f t="shared" si="15"/>
        <v>2191971.4285714249</v>
      </c>
      <c r="H83" s="148">
        <f t="shared" si="15"/>
        <v>2179171.4285714249</v>
      </c>
    </row>
    <row r="84" spans="2:8" ht="21" x14ac:dyDescent="0.35">
      <c r="B84" s="149" t="s">
        <v>231</v>
      </c>
      <c r="C84" s="117"/>
      <c r="D84" s="118">
        <v>38400</v>
      </c>
      <c r="E84" s="118">
        <v>38400</v>
      </c>
      <c r="F84" s="118">
        <v>38400</v>
      </c>
      <c r="G84" s="118">
        <v>38400</v>
      </c>
      <c r="H84" s="119">
        <v>25600</v>
      </c>
    </row>
    <row r="85" spans="2:8" ht="21" x14ac:dyDescent="0.35">
      <c r="B85" s="150" t="s">
        <v>232</v>
      </c>
      <c r="C85" s="117"/>
      <c r="D85" s="118">
        <v>0</v>
      </c>
      <c r="E85" s="118">
        <v>0</v>
      </c>
      <c r="F85" s="118">
        <v>0</v>
      </c>
      <c r="G85" s="118">
        <v>0</v>
      </c>
      <c r="H85" s="119">
        <v>0</v>
      </c>
    </row>
    <row r="86" spans="2:8" ht="21.75" thickBot="1" x14ac:dyDescent="0.4">
      <c r="B86" s="122" t="s">
        <v>233</v>
      </c>
      <c r="C86" s="123"/>
      <c r="D86" s="123">
        <f>201000*1.25</f>
        <v>251250</v>
      </c>
      <c r="E86" s="124">
        <f>1722857.14285714*1.25</f>
        <v>2153571.4285714249</v>
      </c>
      <c r="F86" s="124">
        <f>1722857.14285714*1.25</f>
        <v>2153571.4285714249</v>
      </c>
      <c r="G86" s="124">
        <f>1722857.14285714*1.25</f>
        <v>2153571.4285714249</v>
      </c>
      <c r="H86" s="124">
        <f>1722857.14285714*1.25</f>
        <v>2153571.4285714249</v>
      </c>
    </row>
    <row r="87" spans="2:8" ht="21.75" thickBot="1" x14ac:dyDescent="0.4">
      <c r="B87" s="151" t="s">
        <v>234</v>
      </c>
      <c r="C87" s="152">
        <f t="shared" ref="C87:H87" si="16">C83+C65</f>
        <v>0</v>
      </c>
      <c r="D87" s="152">
        <f t="shared" si="16"/>
        <v>-1467368.4943322265</v>
      </c>
      <c r="E87" s="152">
        <f t="shared" si="16"/>
        <v>714386.7391117909</v>
      </c>
      <c r="F87" s="152">
        <f t="shared" si="16"/>
        <v>714386.7391117909</v>
      </c>
      <c r="G87" s="152">
        <f t="shared" si="16"/>
        <v>714386.7391117909</v>
      </c>
      <c r="H87" s="153">
        <f t="shared" si="16"/>
        <v>1194114.9689316689</v>
      </c>
    </row>
    <row r="88" spans="2:8" ht="21.75" thickBot="1" x14ac:dyDescent="0.4">
      <c r="B88" s="154" t="s">
        <v>144</v>
      </c>
      <c r="C88" s="152">
        <v>0</v>
      </c>
      <c r="D88" s="155">
        <f>(0.3*D87)*-1</f>
        <v>440210.54829966795</v>
      </c>
      <c r="E88" s="155">
        <f>(0.3*E87)*-1</f>
        <v>-214316.02173353726</v>
      </c>
      <c r="F88" s="155">
        <f>(0.3*F87)*-1</f>
        <v>-214316.02173353726</v>
      </c>
      <c r="G88" s="155">
        <f>(0.3*G87)*-1</f>
        <v>-214316.02173353726</v>
      </c>
      <c r="H88" s="155">
        <f>(0.3*H87)*-1</f>
        <v>-358234.49067950068</v>
      </c>
    </row>
    <row r="89" spans="2:8" ht="21.75" thickBot="1" x14ac:dyDescent="0.4">
      <c r="B89" s="156" t="s">
        <v>235</v>
      </c>
      <c r="C89" s="157">
        <f t="shared" ref="C89:H89" si="17">SUM(C87:C88)</f>
        <v>0</v>
      </c>
      <c r="D89" s="157">
        <f t="shared" si="17"/>
        <v>-1027157.9460325586</v>
      </c>
      <c r="E89" s="157">
        <f t="shared" si="17"/>
        <v>500070.71737825364</v>
      </c>
      <c r="F89" s="157">
        <f t="shared" si="17"/>
        <v>500070.71737825364</v>
      </c>
      <c r="G89" s="157">
        <f t="shared" si="17"/>
        <v>500070.71737825364</v>
      </c>
      <c r="H89" s="158">
        <f t="shared" si="17"/>
        <v>835880.47825216828</v>
      </c>
    </row>
    <row r="90" spans="2:8" ht="21" x14ac:dyDescent="0.35">
      <c r="B90" s="150" t="s">
        <v>236</v>
      </c>
      <c r="C90" s="131">
        <v>0</v>
      </c>
      <c r="D90" s="159">
        <v>0</v>
      </c>
      <c r="E90" s="159">
        <v>0</v>
      </c>
      <c r="F90" s="159">
        <v>0</v>
      </c>
      <c r="G90" s="159">
        <v>0</v>
      </c>
      <c r="H90" s="133">
        <v>442469.13580246893</v>
      </c>
    </row>
    <row r="91" spans="2:8" ht="21" x14ac:dyDescent="0.35">
      <c r="B91" s="150" t="s">
        <v>219</v>
      </c>
      <c r="C91" s="160">
        <f t="shared" ref="C91:H91" si="18">C72*-1</f>
        <v>0</v>
      </c>
      <c r="D91" s="118">
        <f t="shared" si="18"/>
        <v>47407.407407407409</v>
      </c>
      <c r="E91" s="118">
        <f t="shared" si="18"/>
        <v>47407.407407407409</v>
      </c>
      <c r="F91" s="118">
        <f t="shared" si="18"/>
        <v>47407.407407407409</v>
      </c>
      <c r="G91" s="118">
        <f t="shared" si="18"/>
        <v>47407.407407407409</v>
      </c>
      <c r="H91" s="145">
        <f t="shared" si="18"/>
        <v>31604.93827160494</v>
      </c>
    </row>
    <row r="92" spans="2:8" ht="21" x14ac:dyDescent="0.35">
      <c r="B92" s="150" t="s">
        <v>237</v>
      </c>
      <c r="C92" s="135">
        <v>0</v>
      </c>
      <c r="D92" s="161">
        <v>0</v>
      </c>
      <c r="E92" s="161">
        <v>0</v>
      </c>
      <c r="F92" s="161">
        <v>0</v>
      </c>
      <c r="G92" s="161">
        <v>0</v>
      </c>
      <c r="H92" s="119">
        <v>0</v>
      </c>
    </row>
    <row r="93" spans="2:8" ht="21" x14ac:dyDescent="0.35">
      <c r="B93" s="150" t="s">
        <v>238</v>
      </c>
      <c r="C93" s="135"/>
      <c r="D93" s="118">
        <v>0</v>
      </c>
      <c r="E93" s="118">
        <v>0</v>
      </c>
      <c r="F93" s="118">
        <v>0</v>
      </c>
      <c r="G93" s="118">
        <v>0</v>
      </c>
      <c r="H93" s="119">
        <v>0</v>
      </c>
    </row>
    <row r="94" spans="2:8" ht="21.75" thickBot="1" x14ac:dyDescent="0.4">
      <c r="B94" s="150" t="s">
        <v>239</v>
      </c>
      <c r="C94" s="140">
        <v>0</v>
      </c>
      <c r="D94" s="124">
        <f>C62*-1</f>
        <v>20000</v>
      </c>
      <c r="E94" s="124">
        <v>0</v>
      </c>
      <c r="F94" s="124">
        <v>0</v>
      </c>
      <c r="G94" s="124">
        <v>0</v>
      </c>
      <c r="H94" s="125">
        <v>0</v>
      </c>
    </row>
    <row r="95" spans="2:8" ht="21.75" thickBot="1" x14ac:dyDescent="0.4">
      <c r="B95" s="151" t="s">
        <v>240</v>
      </c>
      <c r="C95" s="152">
        <f>SUM(C89:C94)+C60</f>
        <v>-768000</v>
      </c>
      <c r="D95" s="152">
        <f>SUM(D89:D94)</f>
        <v>-959750.53862515115</v>
      </c>
      <c r="E95" s="152">
        <f>SUM(E89:E94)</f>
        <v>547478.124785661</v>
      </c>
      <c r="F95" s="152">
        <f>SUM(F89:F94)</f>
        <v>547478.124785661</v>
      </c>
      <c r="G95" s="152">
        <f>SUM(G89:G94)</f>
        <v>547478.124785661</v>
      </c>
      <c r="H95" s="153">
        <f>SUM(H89:H94)</f>
        <v>1309954.5523262422</v>
      </c>
    </row>
    <row r="96" spans="2:8" ht="21.75" thickBot="1" x14ac:dyDescent="0.4">
      <c r="B96" s="162" t="s">
        <v>241</v>
      </c>
      <c r="C96" s="163">
        <v>0.12</v>
      </c>
      <c r="D96" s="164"/>
      <c r="E96" s="165"/>
      <c r="F96" s="165"/>
      <c r="G96" s="165"/>
      <c r="H96" s="166"/>
    </row>
    <row r="97" spans="2:9" ht="21.75" thickBot="1" x14ac:dyDescent="0.4">
      <c r="B97" s="151" t="s">
        <v>242</v>
      </c>
      <c r="C97" s="168">
        <f>NPV(C96,D95:H95)+C95</f>
        <v>292445.83932535374</v>
      </c>
      <c r="D97" s="169"/>
      <c r="E97" s="170"/>
      <c r="F97" s="170"/>
      <c r="G97" s="170"/>
      <c r="H97" s="171"/>
    </row>
    <row r="98" spans="2:9" ht="21.75" thickBot="1" x14ac:dyDescent="0.4">
      <c r="B98" s="172" t="s">
        <v>243</v>
      </c>
      <c r="C98" s="173">
        <f>IRR(C95:H95)</f>
        <v>0.18000731360863953</v>
      </c>
      <c r="D98" s="174"/>
      <c r="E98" s="175"/>
      <c r="F98" s="175"/>
      <c r="G98" s="175"/>
      <c r="H98" s="176"/>
    </row>
    <row r="99" spans="2:9" ht="21.75" thickBot="1" x14ac:dyDescent="0.4">
      <c r="B99" s="172" t="s">
        <v>244</v>
      </c>
      <c r="C99" s="177">
        <f>+I106/I105*-1</f>
        <v>1.0216557171276217</v>
      </c>
      <c r="D99" s="178"/>
      <c r="E99" s="179"/>
      <c r="F99" s="179"/>
      <c r="G99" s="179"/>
      <c r="H99" s="180"/>
    </row>
    <row r="101" spans="2:9" x14ac:dyDescent="0.25">
      <c r="D101">
        <v>1</v>
      </c>
      <c r="E101">
        <v>2</v>
      </c>
      <c r="F101">
        <v>3</v>
      </c>
      <c r="G101">
        <v>4</v>
      </c>
      <c r="H101">
        <v>5</v>
      </c>
    </row>
    <row r="102" spans="2:9" x14ac:dyDescent="0.25">
      <c r="B102" s="316" t="s">
        <v>310</v>
      </c>
      <c r="D102">
        <v>0.89290000000000003</v>
      </c>
      <c r="E102">
        <v>0.79720000000000002</v>
      </c>
      <c r="F102">
        <v>0.71179999999999999</v>
      </c>
      <c r="G102">
        <v>0.63549999999999995</v>
      </c>
      <c r="H102">
        <v>0.56740000000000002</v>
      </c>
      <c r="I102" s="316" t="s">
        <v>309</v>
      </c>
    </row>
    <row r="103" spans="2:9" x14ac:dyDescent="0.25">
      <c r="B103" s="316" t="s">
        <v>306</v>
      </c>
      <c r="C103" s="318">
        <v>-768000</v>
      </c>
      <c r="D103" s="318">
        <f>+D65</f>
        <v>-1757018.4943322265</v>
      </c>
      <c r="E103" s="318">
        <f>+E65</f>
        <v>-1477584.689459634</v>
      </c>
      <c r="F103" s="318">
        <f t="shared" ref="F103:H103" si="19">+F65</f>
        <v>-1477584.689459634</v>
      </c>
      <c r="G103" s="318">
        <f t="shared" si="19"/>
        <v>-1477584.689459634</v>
      </c>
      <c r="H103" s="318">
        <f t="shared" si="19"/>
        <v>-985056.45963975589</v>
      </c>
      <c r="I103" s="318"/>
    </row>
    <row r="104" spans="2:9" x14ac:dyDescent="0.25">
      <c r="B104" s="316" t="s">
        <v>230</v>
      </c>
      <c r="C104" s="318">
        <v>0</v>
      </c>
      <c r="D104" s="318">
        <f>+D83</f>
        <v>289650</v>
      </c>
      <c r="E104" s="318">
        <f>+E83</f>
        <v>2191971.4285714249</v>
      </c>
      <c r="F104" s="318">
        <f t="shared" ref="F104:H104" si="20">+F83</f>
        <v>2191971.4285714249</v>
      </c>
      <c r="G104" s="318">
        <f t="shared" si="20"/>
        <v>2191971.4285714249</v>
      </c>
      <c r="H104" s="318">
        <f t="shared" si="20"/>
        <v>2179171.4285714249</v>
      </c>
      <c r="I104" s="318"/>
    </row>
    <row r="105" spans="2:9" x14ac:dyDescent="0.25">
      <c r="B105" s="316" t="s">
        <v>308</v>
      </c>
      <c r="C105" s="318">
        <v>-768000</v>
      </c>
      <c r="D105" s="318">
        <f>+D103*D102</f>
        <v>-1568841.8135892451</v>
      </c>
      <c r="E105" s="318">
        <f t="shared" ref="E105:H105" si="21">+E103*E102</f>
        <v>-1177930.5144372203</v>
      </c>
      <c r="F105" s="318">
        <f t="shared" si="21"/>
        <v>-1051744.7819573674</v>
      </c>
      <c r="G105" s="318">
        <f t="shared" si="21"/>
        <v>-939005.07015159738</v>
      </c>
      <c r="H105" s="318">
        <f t="shared" si="21"/>
        <v>-558921.03519959748</v>
      </c>
      <c r="I105" s="318">
        <f>SUM(C105:H105)</f>
        <v>-6064443.2153350273</v>
      </c>
    </row>
    <row r="106" spans="2:9" x14ac:dyDescent="0.25">
      <c r="B106" s="316" t="s">
        <v>307</v>
      </c>
      <c r="C106" s="318">
        <v>0</v>
      </c>
      <c r="D106" s="318">
        <f>+D83*D102</f>
        <v>258628.48500000002</v>
      </c>
      <c r="E106" s="318">
        <f>+E83*E102</f>
        <v>1747439.6228571399</v>
      </c>
      <c r="F106" s="318">
        <f>+F83*F102</f>
        <v>1560245.2628571403</v>
      </c>
      <c r="G106" s="318">
        <f>+G83*G102</f>
        <v>1392997.8428571403</v>
      </c>
      <c r="H106" s="318">
        <f>+H83*H102</f>
        <v>1236461.8685714265</v>
      </c>
      <c r="I106" s="318">
        <f>SUM(C106:H106)</f>
        <v>6195773.0821428476</v>
      </c>
    </row>
    <row r="107" spans="2:9" x14ac:dyDescent="0.25">
      <c r="C107" s="318"/>
      <c r="D107" s="318"/>
      <c r="E107" s="318"/>
      <c r="F107" s="318"/>
      <c r="G107" s="318"/>
      <c r="H107" s="318"/>
      <c r="I107" s="318">
        <f>+I106/I105*-1</f>
        <v>1.0216557171276217</v>
      </c>
    </row>
  </sheetData>
  <mergeCells count="20">
    <mergeCell ref="B55:H55"/>
    <mergeCell ref="B56:H56"/>
    <mergeCell ref="B57:H57"/>
    <mergeCell ref="B58:B59"/>
    <mergeCell ref="C58:C59"/>
    <mergeCell ref="D58:D59"/>
    <mergeCell ref="E58:E59"/>
    <mergeCell ref="F58:F59"/>
    <mergeCell ref="G58:G59"/>
    <mergeCell ref="H58:H59"/>
    <mergeCell ref="B1:H1"/>
    <mergeCell ref="B2:H2"/>
    <mergeCell ref="B3:H3"/>
    <mergeCell ref="B4:B5"/>
    <mergeCell ref="C4:C5"/>
    <mergeCell ref="D4:D5"/>
    <mergeCell ref="E4:E5"/>
    <mergeCell ref="F4:F5"/>
    <mergeCell ref="G4:G5"/>
    <mergeCell ref="H4:H5"/>
  </mergeCells>
  <pageMargins left="0.7" right="0.7" top="0.75" bottom="0.75" header="0.3" footer="0.3"/>
  <pageSetup paperSize="12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Costos inv. Inic</vt:lpstr>
      <vt:lpstr>Costos Funcionamiento</vt:lpstr>
      <vt:lpstr>Financiero</vt:lpstr>
      <vt:lpstr>VAC, CAE, ICE</vt:lpstr>
      <vt:lpstr>Economico</vt:lpstr>
      <vt:lpstr>Cronograma</vt:lpstr>
      <vt:lpstr>Finan Eje 2</vt:lpstr>
      <vt:lpstr>Finan Eje 2 con Prestamo</vt:lpstr>
      <vt:lpstr>Sensibilidad</vt:lpstr>
      <vt:lpstr>Depreciacion</vt:lpstr>
      <vt:lpstr>'Costos Funcionamiento'!Área_de_impresión</vt:lpstr>
      <vt:lpstr>'Costos inv. Inic'!Área_de_impresión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Osvaldo Sanchez</dc:creator>
  <cp:lastModifiedBy>Agueda Rodriguez</cp:lastModifiedBy>
  <cp:lastPrinted>2021-12-09T17:00:45Z</cp:lastPrinted>
  <dcterms:created xsi:type="dcterms:W3CDTF">2018-10-22T20:11:35Z</dcterms:created>
  <dcterms:modified xsi:type="dcterms:W3CDTF">2025-09-11T14:56:47Z</dcterms:modified>
</cp:coreProperties>
</file>